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HisSorb Plate Experimente\20260113_NiPlate 18FAG120\"/>
    </mc:Choice>
  </mc:AlternateContent>
  <xr:revisionPtr revIDLastSave="0" documentId="13_ncr:1_{898A7C6C-8F1D-4CAE-ADE0-821CF1970830}" xr6:coauthVersionLast="47" xr6:coauthVersionMax="47" xr10:uidLastSave="{00000000-0000-0000-0000-000000000000}"/>
  <bookViews>
    <workbookView xWindow="4785" yWindow="3510" windowWidth="22710" windowHeight="11385" xr2:uid="{00000000-000D-0000-FFFF-FFFF00000000}"/>
  </bookViews>
  <sheets>
    <sheet name="Region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6" i="1" l="1"/>
  <c r="O34" i="1"/>
  <c r="O33" i="1"/>
  <c r="O32" i="1"/>
  <c r="O31" i="1"/>
  <c r="O30" i="1"/>
  <c r="M30" i="1"/>
  <c r="M31" i="1"/>
  <c r="M32" i="1"/>
  <c r="M33" i="1"/>
  <c r="M34" i="1"/>
  <c r="M35" i="1"/>
  <c r="M36" i="1"/>
  <c r="L31" i="1"/>
  <c r="L32" i="1"/>
  <c r="L33" i="1"/>
  <c r="O35" i="1"/>
  <c r="O5" i="1"/>
  <c r="O6" i="1"/>
  <c r="O7" i="1"/>
  <c r="O8" i="1"/>
  <c r="O9" i="1"/>
  <c r="O10" i="1"/>
  <c r="O12" i="1"/>
  <c r="P12" i="1" s="1"/>
  <c r="O13" i="1"/>
  <c r="O14" i="1"/>
  <c r="O15" i="1"/>
  <c r="O16" i="1"/>
  <c r="O17" i="1"/>
  <c r="O18" i="1"/>
  <c r="L64" i="1"/>
  <c r="J64" i="1"/>
  <c r="N66" i="1" s="1"/>
  <c r="E61" i="1"/>
  <c r="N67" i="1" s="1"/>
  <c r="F52" i="1"/>
  <c r="F51" i="1"/>
  <c r="L30" i="1" l="1"/>
  <c r="P18" i="1"/>
  <c r="P13" i="1"/>
  <c r="P17" i="1"/>
  <c r="P16" i="1"/>
  <c r="P15" i="1"/>
  <c r="P14" i="1"/>
  <c r="N64" i="1"/>
  <c r="O68" i="1"/>
  <c r="E62" i="1"/>
  <c r="D65" i="1" s="1"/>
  <c r="O69" i="1" s="1"/>
  <c r="O4" i="1" l="1"/>
  <c r="M27" i="1" l="1"/>
  <c r="L27" i="1"/>
  <c r="O27" i="1" s="1"/>
  <c r="M28" i="1"/>
  <c r="L28" i="1"/>
  <c r="O28" i="1" s="1"/>
  <c r="M23" i="1"/>
  <c r="L23" i="1"/>
  <c r="O23" i="1" s="1"/>
  <c r="M24" i="1"/>
  <c r="L24" i="1"/>
  <c r="O24" i="1" s="1"/>
  <c r="M25" i="1"/>
  <c r="L25" i="1"/>
  <c r="O25" i="1" s="1"/>
  <c r="M26" i="1"/>
  <c r="L26" i="1"/>
  <c r="O26" i="1" s="1"/>
  <c r="P4" i="1"/>
  <c r="P10" i="1"/>
  <c r="P9" i="1"/>
  <c r="P8" i="1"/>
  <c r="P7" i="1"/>
  <c r="P6" i="1"/>
  <c r="P5" i="1"/>
  <c r="L22" i="1"/>
  <c r="O22" i="1" l="1"/>
</calcChain>
</file>

<file path=xl/sharedStrings.xml><?xml version="1.0" encoding="utf-8"?>
<sst xmlns="http://schemas.openxmlformats.org/spreadsheetml/2006/main" count="188" uniqueCount="140">
  <si>
    <t>Name</t>
  </si>
  <si>
    <t>Area [pixel]</t>
  </si>
  <si>
    <t>Intensity [QL]</t>
  </si>
  <si>
    <t>TB</t>
  </si>
  <si>
    <t>UB (10-6 M BAY)</t>
  </si>
  <si>
    <t>AG-120</t>
  </si>
  <si>
    <t>mean</t>
  </si>
  <si>
    <t>% TB</t>
  </si>
  <si>
    <t>Raw data</t>
  </si>
  <si>
    <t>%</t>
  </si>
  <si>
    <t>C</t>
  </si>
  <si>
    <t>D</t>
  </si>
  <si>
    <t>E</t>
  </si>
  <si>
    <t>F</t>
  </si>
  <si>
    <t>G</t>
  </si>
  <si>
    <t>H</t>
  </si>
  <si>
    <t>- aspiration of protein solution</t>
  </si>
  <si>
    <t>- invert plate and tap on paper to remove remaining liquid</t>
  </si>
  <si>
    <t>18F-AG120</t>
  </si>
  <si>
    <t>original</t>
  </si>
  <si>
    <t>Barbara Wenzel</t>
  </si>
  <si>
    <t>AM</t>
  </si>
  <si>
    <t>GBq/µmol</t>
  </si>
  <si>
    <t>working solution</t>
  </si>
  <si>
    <t>MBq/nmol</t>
  </si>
  <si>
    <t>=</t>
  </si>
  <si>
    <t>MBq/ml</t>
  </si>
  <si>
    <t>M</t>
  </si>
  <si>
    <t>Incubation buffer</t>
  </si>
  <si>
    <t>Test compounds</t>
  </si>
  <si>
    <t>BAY</t>
  </si>
  <si>
    <t>AG120</t>
  </si>
  <si>
    <t>standard</t>
  </si>
  <si>
    <t>CPM</t>
  </si>
  <si>
    <t>sd</t>
  </si>
  <si>
    <t>% of mean</t>
  </si>
  <si>
    <t>mol</t>
  </si>
  <si>
    <t>-&gt;</t>
  </si>
  <si>
    <t>gamma counter (CPM)</t>
  </si>
  <si>
    <t>MBq (theoret.)</t>
  </si>
  <si>
    <t>CPM/MBq</t>
  </si>
  <si>
    <t>mol/CPM</t>
  </si>
  <si>
    <t>DMSO</t>
  </si>
  <si>
    <t>1 µl 10 mM + 99 µl PBS</t>
  </si>
  <si>
    <t>1 % DMSO</t>
  </si>
  <si>
    <t>10 µl 1,00E-04 M + 90 ml PBS</t>
  </si>
  <si>
    <t>0.1 % DMSO</t>
  </si>
  <si>
    <t>Dilution (10x)</t>
  </si>
  <si>
    <t>Incubation</t>
  </si>
  <si>
    <t>= working solution</t>
  </si>
  <si>
    <t>µl 18F-AG120 
working sol.</t>
  </si>
  <si>
    <t xml:space="preserve">+ 20 µl </t>
  </si>
  <si>
    <t>1,00E-05 BAY</t>
  </si>
  <si>
    <t>1,00E-05 AG120</t>
  </si>
  <si>
    <t>1,00E-06 AG120</t>
  </si>
  <si>
    <t>1,00E-07 AG120</t>
  </si>
  <si>
    <t>1,00E-08 AG120</t>
  </si>
  <si>
    <t>PBS</t>
  </si>
  <si>
    <t>mg</t>
  </si>
  <si>
    <t>- two times washing with 200 µl PBS/well</t>
  </si>
  <si>
    <t>10 µl original + 7 ml 50 mM complete IDH buffer (+ DTT)</t>
  </si>
  <si>
    <t>A</t>
  </si>
  <si>
    <t>B</t>
  </si>
  <si>
    <t>1,00E-09 AG120</t>
  </si>
  <si>
    <t>Type</t>
  </si>
  <si>
    <t>Intensity-Bkg [QL]</t>
  </si>
  <si>
    <t>mut-TB-1</t>
  </si>
  <si>
    <t/>
  </si>
  <si>
    <t>mut-TB-2</t>
  </si>
  <si>
    <t>mut-UB-1</t>
  </si>
  <si>
    <t>mut-UB-2</t>
  </si>
  <si>
    <t>mut-A1-1</t>
  </si>
  <si>
    <t>mut-A1-2</t>
  </si>
  <si>
    <t>mut-A2-1</t>
  </si>
  <si>
    <t>mut-A2-2</t>
  </si>
  <si>
    <t>mut-A3-1</t>
  </si>
  <si>
    <t>mut-A3-2</t>
  </si>
  <si>
    <t>mut-A4-1</t>
  </si>
  <si>
    <t>mut-A4-2</t>
  </si>
  <si>
    <t>mut-A5-1</t>
  </si>
  <si>
    <t>mut-A5-2</t>
  </si>
  <si>
    <t>wt-T-1</t>
  </si>
  <si>
    <t>wt-T-2</t>
  </si>
  <si>
    <t>wt-UB-1</t>
  </si>
  <si>
    <t>wt-UB-2</t>
  </si>
  <si>
    <t>wt-A1-1</t>
  </si>
  <si>
    <t>wt-A1-2</t>
  </si>
  <si>
    <t>wt-A2-1</t>
  </si>
  <si>
    <t>wt-A2-2</t>
  </si>
  <si>
    <t>wt-A3-1</t>
  </si>
  <si>
    <t>wt-A3-2</t>
  </si>
  <si>
    <t>wt-A4-1</t>
  </si>
  <si>
    <t>wt-A4-2</t>
  </si>
  <si>
    <t>wt-A5-1</t>
  </si>
  <si>
    <t>wt-A5-2</t>
  </si>
  <si>
    <t>bkg</t>
  </si>
  <si>
    <t>Bkg</t>
  </si>
  <si>
    <t>Binding assay His-tagged IDH1R132H resp. His-tagged IDH1wt: 18F-AG120 vs. AG-120</t>
  </si>
  <si>
    <t>Ni-NTA HisSorb Plate (opened 01.12.2025)</t>
  </si>
  <si>
    <t>His-tagged IDH1</t>
  </si>
  <si>
    <t>abcam ab 113858, 19.9.25, 1 mg/ml</t>
  </si>
  <si>
    <t>3 x 3 µl = 9 µg + 1.5 ml PBS = 6 µg/ml</t>
  </si>
  <si>
    <t>His-tagged IDH1R132H</t>
  </si>
  <si>
    <t>active motif 31614, 23.9.25, 2 mg/ml</t>
  </si>
  <si>
    <t>1 x 3.75 µl = 7.5 µg + 1.5 ml PBS = 5 µg/ml</t>
  </si>
  <si>
    <t>5, 6; A-G</t>
  </si>
  <si>
    <t>100 µl/well IDH1-suspension</t>
  </si>
  <si>
    <t>7, 8: A-G</t>
  </si>
  <si>
    <t>100 µl/well IDH1R132H-suspension</t>
  </si>
  <si>
    <t>Taumler, Raumtemp. 12.00-15.45, anschließend Kühlschrank bis 13.1.26</t>
  </si>
  <si>
    <t>5, 6; H</t>
  </si>
  <si>
    <t xml:space="preserve">PBS  </t>
  </si>
  <si>
    <t>etc.  bis 1,00E-09 M</t>
  </si>
  <si>
    <t>MBq (11:15; Lab. 254)</t>
  </si>
  <si>
    <t>CPM mean</t>
  </si>
  <si>
    <t>10 µl (= 11 kBq)</t>
  </si>
  <si>
    <t>Horizontalschüttler, 11.30-13.30, Raumtemp.</t>
  </si>
  <si>
    <t>PBS (5,6)</t>
  </si>
  <si>
    <t>- aspiration</t>
  </si>
  <si>
    <t>- 2 x 200 µl PBS</t>
  </si>
  <si>
    <t>- exposition: 13.1., 14.00 - 14.1., 08.00</t>
  </si>
  <si>
    <t>IDH1R132H</t>
  </si>
  <si>
    <t>IDH1</t>
  </si>
  <si>
    <t>QL (Intensity - Background)</t>
  </si>
  <si>
    <t>Specific binding (%)</t>
  </si>
  <si>
    <t>384320647*</t>
  </si>
  <si>
    <t>362303235*</t>
  </si>
  <si>
    <t>36264898*</t>
  </si>
  <si>
    <t>37061625*</t>
  </si>
  <si>
    <t>30737003*</t>
  </si>
  <si>
    <t xml:space="preserve">1 µl 18F-working solution (7,8) -&gt; aktivität (resp. Volumen) </t>
  </si>
  <si>
    <t>nicht ausreichend für Detektion!!!</t>
  </si>
  <si>
    <t xml:space="preserve">+ 47,3 µl H2= -&gt; 1 M -&gt; 20 µl ad 100 ml Puffer </t>
  </si>
  <si>
    <t>= 0.2 mM final concentration</t>
  </si>
  <si>
    <t>Einw. 12.1.26</t>
  </si>
  <si>
    <t xml:space="preserve">20 mM TRIS, pH 7.5, Raumtemp., </t>
  </si>
  <si>
    <t>150 mM NaCl, 10 mM MgCl2, 0.00046 %Tween 20</t>
  </si>
  <si>
    <t>MW 154,3</t>
  </si>
  <si>
    <t>+ 0.2 mM DTT (freshly prep.)</t>
  </si>
  <si>
    <t>Barbara Wenzel (email 14.1.)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</si>
</sst>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11" fontId="0" fillId="0" borderId="0" xfId="0" applyNumberFormat="1"/>
    <xf numFmtId="1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20" fontId="0" fillId="0" borderId="0" xfId="0" applyNumberFormat="1" applyFont="1" applyFill="1"/>
    <xf numFmtId="165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0" xfId="0" applyFill="1" applyAlignment="1">
      <alignment wrapText="1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quotePrefix="1" applyFont="1"/>
    <xf numFmtId="14" fontId="0" fillId="0" borderId="0" xfId="0" applyNumberFormat="1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1" fontId="0" fillId="0" borderId="0" xfId="0" applyNumberFormat="1" applyFont="1" applyFill="1"/>
    <xf numFmtId="165" fontId="0" fillId="0" borderId="0" xfId="0" applyNumberFormat="1" applyFont="1" applyFill="1"/>
    <xf numFmtId="11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view="pageBreakPreview" topLeftCell="A39" zoomScale="40" zoomScaleNormal="70" zoomScaleSheetLayoutView="40" workbookViewId="0">
      <selection activeCell="E62" sqref="E62"/>
    </sheetView>
  </sheetViews>
  <sheetFormatPr baseColWidth="10" defaultRowHeight="15" x14ac:dyDescent="0.25"/>
  <cols>
    <col min="1" max="1" width="17.140625" customWidth="1"/>
    <col min="3" max="3" width="14.7109375" customWidth="1"/>
    <col min="4" max="4" width="19.85546875" customWidth="1"/>
    <col min="5" max="5" width="20.42578125" customWidth="1"/>
    <col min="6" max="6" width="13.5703125" customWidth="1"/>
    <col min="7" max="7" width="17" customWidth="1"/>
    <col min="8" max="8" width="13.5703125" bestFit="1" customWidth="1"/>
    <col min="9" max="9" width="12.5703125" bestFit="1" customWidth="1"/>
    <col min="11" max="11" width="22.5703125" customWidth="1"/>
    <col min="12" max="16" width="15.7109375" customWidth="1"/>
  </cols>
  <sheetData>
    <row r="1" spans="1:16" x14ac:dyDescent="0.25">
      <c r="A1" s="8">
        <v>46035</v>
      </c>
      <c r="B1" s="10" t="s">
        <v>97</v>
      </c>
      <c r="C1" s="11"/>
      <c r="D1" s="11"/>
      <c r="E1" s="11"/>
      <c r="J1" t="s">
        <v>8</v>
      </c>
    </row>
    <row r="2" spans="1:16" x14ac:dyDescent="0.25">
      <c r="A2" s="1" t="s">
        <v>0</v>
      </c>
      <c r="B2" s="1" t="s">
        <v>64</v>
      </c>
      <c r="C2" s="1" t="s">
        <v>1</v>
      </c>
      <c r="D2" s="1" t="s">
        <v>2</v>
      </c>
      <c r="E2" s="1" t="s">
        <v>65</v>
      </c>
    </row>
    <row r="3" spans="1:16" x14ac:dyDescent="0.25">
      <c r="A3" s="1" t="s">
        <v>66</v>
      </c>
      <c r="B3" s="1" t="s">
        <v>67</v>
      </c>
      <c r="C3" s="1">
        <v>233441</v>
      </c>
      <c r="D3" s="1">
        <v>211406664</v>
      </c>
      <c r="E3" s="1">
        <v>189389252</v>
      </c>
      <c r="L3" s="23" t="s">
        <v>123</v>
      </c>
      <c r="M3" s="23"/>
      <c r="O3" t="s">
        <v>6</v>
      </c>
      <c r="P3" t="s">
        <v>7</v>
      </c>
    </row>
    <row r="4" spans="1:16" x14ac:dyDescent="0.25">
      <c r="A4" s="1" t="s">
        <v>68</v>
      </c>
      <c r="B4" s="1" t="s">
        <v>67</v>
      </c>
      <c r="C4" s="1">
        <v>233441</v>
      </c>
      <c r="D4" s="1" t="s">
        <v>125</v>
      </c>
      <c r="E4" s="1">
        <v>362303235</v>
      </c>
      <c r="I4" t="s">
        <v>121</v>
      </c>
      <c r="K4" t="s">
        <v>3</v>
      </c>
      <c r="L4" s="1">
        <v>189389252</v>
      </c>
      <c r="M4" s="1" t="s">
        <v>126</v>
      </c>
      <c r="O4" s="3">
        <f>AVERAGE(L4:N4)</f>
        <v>189389252</v>
      </c>
      <c r="P4" s="3">
        <f>+O4*100/$O$4</f>
        <v>100</v>
      </c>
    </row>
    <row r="5" spans="1:16" x14ac:dyDescent="0.25">
      <c r="A5" s="1" t="s">
        <v>69</v>
      </c>
      <c r="B5" s="1" t="s">
        <v>67</v>
      </c>
      <c r="C5" s="1">
        <v>233441</v>
      </c>
      <c r="D5" s="1">
        <v>63548872</v>
      </c>
      <c r="E5" s="1">
        <v>41531460</v>
      </c>
      <c r="K5" t="s">
        <v>4</v>
      </c>
      <c r="L5" s="1">
        <v>41531460</v>
      </c>
      <c r="M5" s="1">
        <v>38386743</v>
      </c>
      <c r="O5" s="3">
        <f t="shared" ref="O5:O17" si="0">AVERAGE(L5:N5)</f>
        <v>39959101.5</v>
      </c>
      <c r="P5" s="3">
        <f>+O5*100/$O$4</f>
        <v>21.098927778647123</v>
      </c>
    </row>
    <row r="6" spans="1:16" x14ac:dyDescent="0.25">
      <c r="A6" s="1" t="s">
        <v>70</v>
      </c>
      <c r="B6" s="1" t="s">
        <v>67</v>
      </c>
      <c r="C6" s="1">
        <v>233441</v>
      </c>
      <c r="D6" s="1">
        <v>60404155</v>
      </c>
      <c r="E6" s="1">
        <v>38386743</v>
      </c>
      <c r="J6" t="s">
        <v>5</v>
      </c>
      <c r="K6" s="2">
        <v>9.9999999999999995E-7</v>
      </c>
      <c r="L6" s="1">
        <v>42254669</v>
      </c>
      <c r="M6" s="1">
        <v>38707455</v>
      </c>
      <c r="O6" s="3">
        <f t="shared" si="0"/>
        <v>40481062</v>
      </c>
      <c r="P6" s="3">
        <f>+O6*100/$O$4</f>
        <v>21.374529743641418</v>
      </c>
    </row>
    <row r="7" spans="1:16" x14ac:dyDescent="0.25">
      <c r="A7" s="1" t="s">
        <v>71</v>
      </c>
      <c r="B7" s="1" t="s">
        <v>67</v>
      </c>
      <c r="C7" s="1">
        <v>233441</v>
      </c>
      <c r="D7" s="1">
        <v>64272081</v>
      </c>
      <c r="E7" s="1">
        <v>42254669</v>
      </c>
      <c r="K7" s="2">
        <v>9.9999999999999995E-8</v>
      </c>
      <c r="L7" s="1">
        <v>99623923</v>
      </c>
      <c r="M7" s="1">
        <v>104679991</v>
      </c>
      <c r="O7" s="3">
        <f t="shared" si="0"/>
        <v>102151957</v>
      </c>
      <c r="P7" s="3">
        <f>+O7*100/$O$4</f>
        <v>53.937568220608419</v>
      </c>
    </row>
    <row r="8" spans="1:16" x14ac:dyDescent="0.25">
      <c r="A8" s="1" t="s">
        <v>72</v>
      </c>
      <c r="B8" s="1" t="s">
        <v>67</v>
      </c>
      <c r="C8" s="1">
        <v>233441</v>
      </c>
      <c r="D8" s="1">
        <v>60724867</v>
      </c>
      <c r="E8" s="1">
        <v>38707455</v>
      </c>
      <c r="K8" s="2">
        <v>1E-8</v>
      </c>
      <c r="L8" s="1">
        <v>151833795</v>
      </c>
      <c r="M8" s="1">
        <v>169316194</v>
      </c>
      <c r="O8" s="3">
        <f t="shared" si="0"/>
        <v>160574994.5</v>
      </c>
      <c r="P8" s="3">
        <f>+O8*100/$O$4</f>
        <v>84.785695494483505</v>
      </c>
    </row>
    <row r="9" spans="1:16" x14ac:dyDescent="0.25">
      <c r="A9" s="1" t="s">
        <v>73</v>
      </c>
      <c r="B9" s="1" t="s">
        <v>67</v>
      </c>
      <c r="C9" s="1">
        <v>233441</v>
      </c>
      <c r="D9" s="1">
        <v>121641335</v>
      </c>
      <c r="E9" s="1">
        <v>99623923</v>
      </c>
      <c r="K9" s="2">
        <v>1.0000000000000001E-9</v>
      </c>
      <c r="L9" s="1">
        <v>182539311</v>
      </c>
      <c r="M9" s="1">
        <v>158691931</v>
      </c>
      <c r="O9" s="3">
        <f t="shared" si="0"/>
        <v>170615621</v>
      </c>
      <c r="P9" s="3">
        <f>+O9*100/$O$4</f>
        <v>90.087277497669191</v>
      </c>
    </row>
    <row r="10" spans="1:16" x14ac:dyDescent="0.25">
      <c r="A10" s="1" t="s">
        <v>74</v>
      </c>
      <c r="B10" s="1" t="s">
        <v>67</v>
      </c>
      <c r="C10" s="1">
        <v>233441</v>
      </c>
      <c r="D10" s="1">
        <v>126697403</v>
      </c>
      <c r="E10" s="1">
        <v>104679991</v>
      </c>
      <c r="K10" s="2">
        <v>1E-10</v>
      </c>
      <c r="L10" s="1">
        <v>137176650</v>
      </c>
      <c r="M10" s="1">
        <v>150000195</v>
      </c>
      <c r="O10" s="3">
        <f t="shared" si="0"/>
        <v>143588422.5</v>
      </c>
      <c r="P10" s="3">
        <f>+O10*100/$O$4</f>
        <v>75.816563497489284</v>
      </c>
    </row>
    <row r="11" spans="1:16" x14ac:dyDescent="0.25">
      <c r="A11" s="1" t="s">
        <v>75</v>
      </c>
      <c r="B11" s="1" t="s">
        <v>67</v>
      </c>
      <c r="C11" s="1">
        <v>233441</v>
      </c>
      <c r="D11" s="1">
        <v>173851207</v>
      </c>
      <c r="E11" s="1">
        <v>151833795</v>
      </c>
    </row>
    <row r="12" spans="1:16" x14ac:dyDescent="0.25">
      <c r="A12" s="1" t="s">
        <v>76</v>
      </c>
      <c r="B12" s="1" t="s">
        <v>67</v>
      </c>
      <c r="C12" s="1">
        <v>233441</v>
      </c>
      <c r="D12" s="1">
        <v>191333606</v>
      </c>
      <c r="E12" s="1">
        <v>169316194</v>
      </c>
      <c r="I12" t="s">
        <v>122</v>
      </c>
      <c r="K12" t="s">
        <v>3</v>
      </c>
      <c r="L12" s="1">
        <v>15059872</v>
      </c>
      <c r="M12" s="1">
        <v>27370429</v>
      </c>
      <c r="O12" s="3">
        <f>AVERAGE(L12:N12)</f>
        <v>21215150.5</v>
      </c>
      <c r="P12" s="3">
        <f>+O12*100/$O$12</f>
        <v>100</v>
      </c>
    </row>
    <row r="13" spans="1:16" x14ac:dyDescent="0.25">
      <c r="A13" s="1" t="s">
        <v>77</v>
      </c>
      <c r="B13" s="1" t="s">
        <v>67</v>
      </c>
      <c r="C13" s="1">
        <v>233441</v>
      </c>
      <c r="D13" s="1">
        <v>204556723</v>
      </c>
      <c r="E13" s="1">
        <v>182539311</v>
      </c>
      <c r="K13" t="s">
        <v>4</v>
      </c>
      <c r="L13" s="1">
        <v>14722208</v>
      </c>
      <c r="M13" s="1">
        <v>7915818</v>
      </c>
      <c r="O13" s="3">
        <f>AVERAGE(L13:N13)</f>
        <v>11319013</v>
      </c>
      <c r="P13" s="3">
        <f t="shared" ref="P13:P18" si="1">+O13*100/$O$12</f>
        <v>53.353441918783467</v>
      </c>
    </row>
    <row r="14" spans="1:16" x14ac:dyDescent="0.25">
      <c r="A14" s="1" t="s">
        <v>78</v>
      </c>
      <c r="B14" s="1" t="s">
        <v>67</v>
      </c>
      <c r="C14" s="1">
        <v>233441</v>
      </c>
      <c r="D14" s="1">
        <v>180709343</v>
      </c>
      <c r="E14" s="1">
        <v>158691931</v>
      </c>
      <c r="J14" t="s">
        <v>5</v>
      </c>
      <c r="K14" s="2">
        <v>9.9999999999999995E-7</v>
      </c>
      <c r="L14" s="1">
        <v>15790217</v>
      </c>
      <c r="M14" s="1">
        <v>8911818</v>
      </c>
      <c r="O14" s="3">
        <f>AVERAGE(L14:N14)</f>
        <v>12351017.5</v>
      </c>
      <c r="P14" s="3">
        <f t="shared" si="1"/>
        <v>58.217911298814499</v>
      </c>
    </row>
    <row r="15" spans="1:16" x14ac:dyDescent="0.25">
      <c r="A15" s="1" t="s">
        <v>79</v>
      </c>
      <c r="B15" s="1" t="s">
        <v>67</v>
      </c>
      <c r="C15" s="1">
        <v>233441</v>
      </c>
      <c r="D15" s="1">
        <v>159194062</v>
      </c>
      <c r="E15" s="1">
        <v>137176650</v>
      </c>
      <c r="K15" s="2">
        <v>9.9999999999999995E-8</v>
      </c>
      <c r="L15" s="1">
        <v>26085915</v>
      </c>
      <c r="M15" s="1">
        <v>14452306</v>
      </c>
      <c r="O15" s="3">
        <f>AVERAGE(L15:N15)</f>
        <v>20269110.5</v>
      </c>
      <c r="P15" s="3">
        <f t="shared" si="1"/>
        <v>95.540733967454059</v>
      </c>
    </row>
    <row r="16" spans="1:16" x14ac:dyDescent="0.25">
      <c r="A16" s="1" t="s">
        <v>80</v>
      </c>
      <c r="B16" s="1" t="s">
        <v>67</v>
      </c>
      <c r="C16" s="1">
        <v>233441</v>
      </c>
      <c r="D16" s="1">
        <v>172017607</v>
      </c>
      <c r="E16" s="1">
        <v>150000195</v>
      </c>
      <c r="K16" s="2">
        <v>1E-8</v>
      </c>
      <c r="L16" s="1" t="s">
        <v>127</v>
      </c>
      <c r="M16" s="1">
        <v>22720138</v>
      </c>
      <c r="O16" s="3">
        <f>AVERAGE(L16:N16)</f>
        <v>22720138</v>
      </c>
      <c r="P16" s="3">
        <f t="shared" si="1"/>
        <v>107.09392799263904</v>
      </c>
    </row>
    <row r="17" spans="1:19" x14ac:dyDescent="0.25">
      <c r="A17" s="1" t="s">
        <v>81</v>
      </c>
      <c r="B17" s="1" t="s">
        <v>67</v>
      </c>
      <c r="C17" s="1">
        <v>233441</v>
      </c>
      <c r="D17" s="1">
        <v>37077284</v>
      </c>
      <c r="E17" s="1">
        <v>15059872</v>
      </c>
      <c r="K17" s="2">
        <v>1.0000000000000001E-9</v>
      </c>
      <c r="L17" s="1" t="s">
        <v>128</v>
      </c>
      <c r="M17" s="1">
        <v>21434341</v>
      </c>
      <c r="O17" s="3">
        <f>AVERAGE(L17:N17)</f>
        <v>21434341</v>
      </c>
      <c r="P17" s="3">
        <f t="shared" si="1"/>
        <v>101.03317909528853</v>
      </c>
      <c r="S17" s="15"/>
    </row>
    <row r="18" spans="1:19" x14ac:dyDescent="0.25">
      <c r="A18" s="1" t="s">
        <v>82</v>
      </c>
      <c r="B18" s="1" t="s">
        <v>67</v>
      </c>
      <c r="C18" s="1">
        <v>233441</v>
      </c>
      <c r="D18" s="1">
        <v>49387841</v>
      </c>
      <c r="E18" s="1">
        <v>27370429</v>
      </c>
      <c r="K18" s="2">
        <v>1E-10</v>
      </c>
      <c r="L18" s="1" t="s">
        <v>129</v>
      </c>
      <c r="M18" s="1">
        <v>27039562</v>
      </c>
      <c r="O18" s="3">
        <f>AVERAGE(L18:N18)</f>
        <v>27039562</v>
      </c>
      <c r="P18" s="3">
        <f t="shared" si="1"/>
        <v>127.45401923969382</v>
      </c>
    </row>
    <row r="19" spans="1:19" x14ac:dyDescent="0.25">
      <c r="A19" s="1" t="s">
        <v>83</v>
      </c>
      <c r="B19" s="1" t="s">
        <v>67</v>
      </c>
      <c r="C19" s="1">
        <v>233441</v>
      </c>
      <c r="D19" s="1">
        <v>36739620</v>
      </c>
      <c r="E19" s="1">
        <v>14722208</v>
      </c>
    </row>
    <row r="20" spans="1:19" x14ac:dyDescent="0.25">
      <c r="A20" s="1" t="s">
        <v>84</v>
      </c>
      <c r="B20" s="1" t="s">
        <v>67</v>
      </c>
      <c r="C20" s="1">
        <v>233441</v>
      </c>
      <c r="D20" s="1">
        <v>29933230</v>
      </c>
      <c r="E20" s="1">
        <v>7915818</v>
      </c>
    </row>
    <row r="21" spans="1:19" x14ac:dyDescent="0.25">
      <c r="A21" s="1" t="s">
        <v>85</v>
      </c>
      <c r="B21" s="1" t="s">
        <v>67</v>
      </c>
      <c r="C21" s="1">
        <v>233441</v>
      </c>
      <c r="D21" s="1">
        <v>37807629</v>
      </c>
      <c r="E21" s="1">
        <v>15790217</v>
      </c>
      <c r="K21" t="s">
        <v>124</v>
      </c>
      <c r="L21" s="23" t="s">
        <v>9</v>
      </c>
      <c r="M21" s="23"/>
      <c r="O21" t="s">
        <v>6</v>
      </c>
    </row>
    <row r="22" spans="1:19" x14ac:dyDescent="0.25">
      <c r="A22" s="1" t="s">
        <v>86</v>
      </c>
      <c r="B22" s="1" t="s">
        <v>67</v>
      </c>
      <c r="C22" s="1">
        <v>233441</v>
      </c>
      <c r="D22" s="1">
        <v>30929230</v>
      </c>
      <c r="E22" s="1">
        <v>8911818</v>
      </c>
      <c r="I22" t="s">
        <v>121</v>
      </c>
      <c r="K22" t="s">
        <v>3</v>
      </c>
      <c r="L22" s="3">
        <f>+(L4-$O$5)*100/($O$4-$O$5)</f>
        <v>100</v>
      </c>
      <c r="M22" s="3"/>
      <c r="N22" s="3"/>
      <c r="O22" s="3">
        <f>AVERAGE(L22:N22)</f>
        <v>100</v>
      </c>
    </row>
    <row r="23" spans="1:19" x14ac:dyDescent="0.25">
      <c r="A23" s="1" t="s">
        <v>87</v>
      </c>
      <c r="B23" s="1" t="s">
        <v>67</v>
      </c>
      <c r="C23" s="1">
        <v>233441</v>
      </c>
      <c r="D23" s="1">
        <v>48103327</v>
      </c>
      <c r="E23" s="1">
        <v>26085915</v>
      </c>
      <c r="K23" t="s">
        <v>4</v>
      </c>
      <c r="L23" s="3">
        <f t="shared" ref="L23:M28" si="2">+(L5-$O$5)*100/($O$4-$O$5)</f>
        <v>1.0522364427385087</v>
      </c>
      <c r="M23" s="3">
        <f t="shared" si="2"/>
        <v>-1.0522364427385087</v>
      </c>
      <c r="N23" s="3"/>
      <c r="O23" s="3">
        <f t="shared" ref="O23:O28" si="3">AVERAGE(L23:N23)</f>
        <v>0</v>
      </c>
    </row>
    <row r="24" spans="1:19" s="15" customFormat="1" x14ac:dyDescent="0.25">
      <c r="A24" s="1" t="s">
        <v>88</v>
      </c>
      <c r="B24" s="1" t="s">
        <v>67</v>
      </c>
      <c r="C24" s="1">
        <v>233441</v>
      </c>
      <c r="D24" s="1">
        <v>36469718</v>
      </c>
      <c r="E24" s="1">
        <v>14452306</v>
      </c>
      <c r="I24"/>
      <c r="J24" t="s">
        <v>5</v>
      </c>
      <c r="K24" s="2">
        <v>9.9999999999999995E-7</v>
      </c>
      <c r="L24" s="3">
        <f t="shared" si="2"/>
        <v>1.5362144067438386</v>
      </c>
      <c r="M24" s="3">
        <f t="shared" si="2"/>
        <v>-0.83761308933433753</v>
      </c>
      <c r="N24" s="3"/>
      <c r="O24" s="3">
        <f t="shared" si="3"/>
        <v>0.34930065870475052</v>
      </c>
      <c r="P24"/>
      <c r="Q24"/>
      <c r="R24"/>
    </row>
    <row r="25" spans="1:19" x14ac:dyDescent="0.25">
      <c r="A25" s="1" t="s">
        <v>89</v>
      </c>
      <c r="B25" s="1" t="s">
        <v>67</v>
      </c>
      <c r="C25" s="1">
        <v>233441</v>
      </c>
      <c r="D25" s="1">
        <v>58282310</v>
      </c>
      <c r="E25" s="1">
        <v>36264898</v>
      </c>
      <c r="K25" s="2">
        <v>9.9999999999999995E-8</v>
      </c>
      <c r="L25" s="3">
        <f t="shared" si="2"/>
        <v>39.928234897949864</v>
      </c>
      <c r="M25" s="3">
        <f t="shared" si="2"/>
        <v>43.311801054500044</v>
      </c>
      <c r="O25" s="3">
        <f t="shared" si="3"/>
        <v>41.620017976224958</v>
      </c>
    </row>
    <row r="26" spans="1:19" x14ac:dyDescent="0.25">
      <c r="A26" s="1" t="s">
        <v>90</v>
      </c>
      <c r="B26" s="1" t="s">
        <v>67</v>
      </c>
      <c r="C26" s="1">
        <v>233441</v>
      </c>
      <c r="D26" s="1">
        <v>44737550</v>
      </c>
      <c r="E26" s="1">
        <v>22720138</v>
      </c>
      <c r="K26" s="2">
        <v>1E-8</v>
      </c>
      <c r="L26" s="3">
        <f t="shared" si="2"/>
        <v>74.867550575076208</v>
      </c>
      <c r="M26" s="3">
        <f t="shared" si="2"/>
        <v>86.566929141920397</v>
      </c>
      <c r="N26" s="15"/>
      <c r="O26" s="3">
        <f t="shared" si="3"/>
        <v>80.717239858498303</v>
      </c>
      <c r="P26" s="15"/>
      <c r="Q26" s="15"/>
      <c r="R26" s="15"/>
    </row>
    <row r="27" spans="1:19" x14ac:dyDescent="0.25">
      <c r="A27" s="1" t="s">
        <v>91</v>
      </c>
      <c r="B27" s="1" t="s">
        <v>67</v>
      </c>
      <c r="C27" s="1">
        <v>233441</v>
      </c>
      <c r="D27" s="1">
        <v>59079037</v>
      </c>
      <c r="E27" s="1">
        <v>37061625</v>
      </c>
      <c r="K27" s="2">
        <v>1.0000000000000001E-9</v>
      </c>
      <c r="L27" s="3">
        <f t="shared" si="2"/>
        <v>95.415957906031821</v>
      </c>
      <c r="M27" s="3">
        <f t="shared" si="2"/>
        <v>79.457076836712417</v>
      </c>
      <c r="O27" s="3">
        <f t="shared" si="3"/>
        <v>87.436517371372119</v>
      </c>
    </row>
    <row r="28" spans="1:19" x14ac:dyDescent="0.25">
      <c r="A28" s="1" t="s">
        <v>92</v>
      </c>
      <c r="B28" s="1" t="s">
        <v>67</v>
      </c>
      <c r="C28" s="1">
        <v>233441</v>
      </c>
      <c r="D28" s="1">
        <v>43451753</v>
      </c>
      <c r="E28" s="1">
        <v>21434341</v>
      </c>
      <c r="K28" s="2">
        <v>1E-10</v>
      </c>
      <c r="L28" s="3">
        <f t="shared" si="2"/>
        <v>65.058857382332619</v>
      </c>
      <c r="M28" s="3">
        <f t="shared" si="2"/>
        <v>73.640488972136851</v>
      </c>
      <c r="O28" s="3">
        <f t="shared" si="3"/>
        <v>69.349673177234735</v>
      </c>
    </row>
    <row r="29" spans="1:19" x14ac:dyDescent="0.25">
      <c r="A29" s="1" t="s">
        <v>93</v>
      </c>
      <c r="B29" s="1" t="s">
        <v>67</v>
      </c>
      <c r="C29" s="1">
        <v>233441</v>
      </c>
      <c r="D29" s="1">
        <v>52754415</v>
      </c>
      <c r="E29" s="1">
        <v>30737003</v>
      </c>
      <c r="L29" s="3"/>
      <c r="M29" s="3"/>
      <c r="O29" s="3"/>
    </row>
    <row r="30" spans="1:19" x14ac:dyDescent="0.25">
      <c r="A30" s="1" t="s">
        <v>94</v>
      </c>
      <c r="B30" s="1" t="s">
        <v>67</v>
      </c>
      <c r="C30" s="1">
        <v>233441</v>
      </c>
      <c r="D30" s="1">
        <v>49056974</v>
      </c>
      <c r="E30" s="1">
        <v>27039562</v>
      </c>
      <c r="I30" t="s">
        <v>122</v>
      </c>
      <c r="K30" t="s">
        <v>3</v>
      </c>
      <c r="L30" s="3">
        <f>+(L12-$O$13)*100/($O$12-$O$13)</f>
        <v>37.801202741978877</v>
      </c>
      <c r="M30" s="3">
        <f>+(M12-$O$13)*100/($O$12-$O$13)</f>
        <v>162.19879725802113</v>
      </c>
      <c r="O30" s="3">
        <f>AVERAGE(L30:N30)</f>
        <v>100</v>
      </c>
    </row>
    <row r="31" spans="1:19" x14ac:dyDescent="0.25">
      <c r="A31" s="1" t="s">
        <v>95</v>
      </c>
      <c r="B31" s="1" t="s">
        <v>96</v>
      </c>
      <c r="C31" s="1">
        <v>233441</v>
      </c>
      <c r="D31" s="1">
        <v>22017412</v>
      </c>
      <c r="E31" s="1">
        <v>0</v>
      </c>
      <c r="K31" t="s">
        <v>4</v>
      </c>
      <c r="L31" s="3">
        <f t="shared" ref="L31:M36" si="4">+(L13-$O$13)*100/($O$12-$O$13)</f>
        <v>34.389124039555838</v>
      </c>
      <c r="M31" s="3">
        <f t="shared" si="4"/>
        <v>-34.389124039555838</v>
      </c>
      <c r="O31" s="3">
        <f t="shared" ref="O31:O36" si="5">AVERAGE(L31:N31)</f>
        <v>0</v>
      </c>
    </row>
    <row r="32" spans="1:19" x14ac:dyDescent="0.25">
      <c r="A32" s="15"/>
      <c r="B32" s="15"/>
      <c r="C32" s="15"/>
      <c r="D32" s="15"/>
      <c r="E32" s="15"/>
      <c r="J32" t="s">
        <v>5</v>
      </c>
      <c r="K32" s="2">
        <v>9.9999999999999995E-7</v>
      </c>
      <c r="L32" s="3">
        <f t="shared" si="4"/>
        <v>45.181304322014526</v>
      </c>
      <c r="M32" s="3">
        <f t="shared" si="4"/>
        <v>-24.324591286246779</v>
      </c>
      <c r="O32" s="3">
        <f t="shared" si="5"/>
        <v>10.428356517883874</v>
      </c>
    </row>
    <row r="33" spans="1:15" x14ac:dyDescent="0.25">
      <c r="A33" s="15"/>
      <c r="B33" s="15"/>
      <c r="C33" s="16"/>
      <c r="D33" s="16"/>
      <c r="E33" s="15"/>
      <c r="K33" s="2">
        <v>9.9999999999999995E-8</v>
      </c>
      <c r="L33" s="3">
        <f t="shared" si="4"/>
        <v>149.21884422078816</v>
      </c>
      <c r="M33" s="3">
        <f t="shared" si="4"/>
        <v>31.661777132744973</v>
      </c>
      <c r="O33" s="3">
        <f t="shared" si="5"/>
        <v>90.440310676766558</v>
      </c>
    </row>
    <row r="34" spans="1:15" ht="15" customHeight="1" x14ac:dyDescent="0.25">
      <c r="A34" s="15"/>
      <c r="B34" s="15"/>
      <c r="C34" s="17"/>
      <c r="D34" s="17"/>
      <c r="E34" s="15"/>
      <c r="K34" s="2">
        <v>1E-8</v>
      </c>
      <c r="L34" s="3"/>
      <c r="M34" s="3">
        <f t="shared" si="4"/>
        <v>115.20782729625573</v>
      </c>
      <c r="O34" s="3">
        <f t="shared" si="5"/>
        <v>115.20782729625573</v>
      </c>
    </row>
    <row r="35" spans="1:15" x14ac:dyDescent="0.25">
      <c r="A35" s="20">
        <v>46034</v>
      </c>
      <c r="B35" s="18" t="s">
        <v>98</v>
      </c>
      <c r="C35" s="18"/>
      <c r="D35" s="17"/>
      <c r="E35" s="15"/>
      <c r="K35" s="2">
        <v>1.0000000000000001E-9</v>
      </c>
      <c r="L35" s="3"/>
      <c r="M35" s="3">
        <f t="shared" si="4"/>
        <v>102.21490960488373</v>
      </c>
      <c r="O35" s="3">
        <f t="shared" si="5"/>
        <v>102.21490960488373</v>
      </c>
    </row>
    <row r="36" spans="1:15" ht="45" x14ac:dyDescent="0.25">
      <c r="A36" s="15"/>
      <c r="B36" s="27" t="s">
        <v>99</v>
      </c>
      <c r="C36" s="26" t="s">
        <v>100</v>
      </c>
      <c r="D36" s="26" t="s">
        <v>101</v>
      </c>
      <c r="E36" s="18"/>
      <c r="K36" s="2">
        <v>1E-10</v>
      </c>
      <c r="L36" s="3"/>
      <c r="M36" s="3">
        <f t="shared" si="4"/>
        <v>158.85540191817262</v>
      </c>
      <c r="O36" s="3">
        <f t="shared" si="5"/>
        <v>158.85540191817262</v>
      </c>
    </row>
    <row r="37" spans="1:15" ht="45" x14ac:dyDescent="0.25">
      <c r="A37" s="15"/>
      <c r="B37" s="27" t="s">
        <v>102</v>
      </c>
      <c r="C37" s="26" t="s">
        <v>103</v>
      </c>
      <c r="D37" s="26" t="s">
        <v>104</v>
      </c>
      <c r="E37" s="18"/>
    </row>
    <row r="38" spans="1:15" x14ac:dyDescent="0.25">
      <c r="A38" s="15"/>
      <c r="B38" s="18"/>
      <c r="C38" s="26"/>
      <c r="D38" s="26"/>
      <c r="E38" s="18"/>
    </row>
    <row r="39" spans="1:15" ht="45" x14ac:dyDescent="0.25">
      <c r="A39" s="15"/>
      <c r="B39" s="18" t="s">
        <v>105</v>
      </c>
      <c r="C39" s="26" t="s">
        <v>106</v>
      </c>
      <c r="D39" s="28" t="s">
        <v>109</v>
      </c>
      <c r="E39" s="18"/>
    </row>
    <row r="40" spans="1:15" ht="45" x14ac:dyDescent="0.25">
      <c r="B40" s="18" t="s">
        <v>107</v>
      </c>
      <c r="C40" s="26" t="s">
        <v>108</v>
      </c>
      <c r="D40" s="28"/>
      <c r="E40" s="18"/>
      <c r="H40" s="5"/>
      <c r="I40" s="4"/>
      <c r="J40" s="4"/>
      <c r="K40" s="4"/>
    </row>
    <row r="41" spans="1:15" x14ac:dyDescent="0.25">
      <c r="B41" s="18" t="s">
        <v>110</v>
      </c>
      <c r="C41" s="26" t="s">
        <v>111</v>
      </c>
      <c r="D41" s="18"/>
      <c r="E41" s="18"/>
      <c r="H41" s="5"/>
    </row>
    <row r="42" spans="1:15" x14ac:dyDescent="0.25">
      <c r="B42" s="18"/>
      <c r="C42" s="18"/>
      <c r="D42" s="18"/>
      <c r="E42" s="18"/>
      <c r="F42" s="9" t="s">
        <v>28</v>
      </c>
    </row>
    <row r="43" spans="1:15" x14ac:dyDescent="0.25">
      <c r="A43" s="18"/>
      <c r="B43" s="18"/>
      <c r="C43" s="18"/>
      <c r="D43" s="18"/>
      <c r="E43" s="18"/>
      <c r="F43" t="s">
        <v>135</v>
      </c>
    </row>
    <row r="44" spans="1:15" x14ac:dyDescent="0.25">
      <c r="A44" s="20">
        <v>46035</v>
      </c>
      <c r="B44" s="19" t="s">
        <v>16</v>
      </c>
      <c r="C44" s="18"/>
      <c r="D44" s="18"/>
      <c r="E44" s="18"/>
      <c r="F44" t="s">
        <v>136</v>
      </c>
    </row>
    <row r="45" spans="1:15" x14ac:dyDescent="0.25">
      <c r="A45" s="18"/>
      <c r="B45" s="19" t="s">
        <v>59</v>
      </c>
      <c r="C45" s="18"/>
      <c r="D45" s="18"/>
      <c r="E45" s="18"/>
      <c r="F45" s="4" t="s">
        <v>138</v>
      </c>
      <c r="H45" t="s">
        <v>137</v>
      </c>
    </row>
    <row r="46" spans="1:15" x14ac:dyDescent="0.25">
      <c r="A46" s="18"/>
      <c r="B46" s="19" t="s">
        <v>17</v>
      </c>
      <c r="C46" s="18"/>
      <c r="D46" s="18"/>
      <c r="E46" s="18"/>
      <c r="F46">
        <v>7.3</v>
      </c>
      <c r="G46" t="s">
        <v>58</v>
      </c>
      <c r="H46" t="s">
        <v>134</v>
      </c>
    </row>
    <row r="47" spans="1:15" x14ac:dyDescent="0.25">
      <c r="A47" s="15"/>
      <c r="B47" s="15"/>
      <c r="C47" s="15"/>
      <c r="D47" s="15"/>
      <c r="E47" s="15"/>
      <c r="F47" s="4" t="s">
        <v>132</v>
      </c>
      <c r="H47" s="9"/>
    </row>
    <row r="48" spans="1:15" x14ac:dyDescent="0.25">
      <c r="A48" s="15"/>
      <c r="B48" s="15"/>
      <c r="C48" s="15"/>
      <c r="D48" s="15"/>
      <c r="E48" s="15"/>
      <c r="F48" s="18"/>
      <c r="G48" t="s">
        <v>133</v>
      </c>
    </row>
    <row r="49" spans="1:15" x14ac:dyDescent="0.25">
      <c r="A49" s="15"/>
    </row>
    <row r="50" spans="1:15" x14ac:dyDescent="0.25">
      <c r="A50" s="18" t="s">
        <v>29</v>
      </c>
      <c r="B50" s="18"/>
      <c r="C50" s="18"/>
      <c r="D50" s="18" t="s">
        <v>47</v>
      </c>
      <c r="E50" s="18"/>
    </row>
    <row r="51" spans="1:15" x14ac:dyDescent="0.25">
      <c r="A51" s="18" t="s">
        <v>30</v>
      </c>
      <c r="B51" s="24">
        <v>0.01</v>
      </c>
      <c r="C51" s="25" t="s">
        <v>42</v>
      </c>
      <c r="D51" s="18" t="s">
        <v>43</v>
      </c>
      <c r="E51" s="18"/>
      <c r="F51" s="2">
        <f>1*0.01/100</f>
        <v>1E-4</v>
      </c>
      <c r="G51" t="s">
        <v>27</v>
      </c>
      <c r="H51" t="s">
        <v>44</v>
      </c>
    </row>
    <row r="52" spans="1:15" x14ac:dyDescent="0.25">
      <c r="A52" s="18" t="s">
        <v>31</v>
      </c>
      <c r="B52" s="24"/>
      <c r="C52" s="25"/>
      <c r="D52" s="18" t="s">
        <v>45</v>
      </c>
      <c r="E52" s="18"/>
      <c r="F52" s="2">
        <f>10*0.0001/100</f>
        <v>1.0000000000000001E-5</v>
      </c>
      <c r="G52" t="s">
        <v>27</v>
      </c>
      <c r="H52" t="s">
        <v>46</v>
      </c>
    </row>
    <row r="53" spans="1:15" x14ac:dyDescent="0.25">
      <c r="A53" s="18"/>
      <c r="B53" s="18"/>
      <c r="C53" s="18"/>
      <c r="D53" s="18" t="s">
        <v>112</v>
      </c>
      <c r="E53" s="18"/>
    </row>
    <row r="54" spans="1:15" x14ac:dyDescent="0.25">
      <c r="A54" s="15"/>
      <c r="B54" s="15"/>
      <c r="C54" s="15"/>
      <c r="D54" s="15"/>
      <c r="E54" s="15"/>
      <c r="F54" s="15"/>
    </row>
    <row r="55" spans="1:15" x14ac:dyDescent="0.25">
      <c r="B55" s="9" t="s">
        <v>18</v>
      </c>
    </row>
    <row r="57" spans="1:15" x14ac:dyDescent="0.25">
      <c r="B57" t="s">
        <v>19</v>
      </c>
      <c r="C57" t="s">
        <v>20</v>
      </c>
      <c r="I57" s="18" t="s">
        <v>21</v>
      </c>
      <c r="J57" s="18">
        <v>191</v>
      </c>
      <c r="K57" s="18" t="s">
        <v>22</v>
      </c>
      <c r="L57" s="6">
        <v>0.46180555555555558</v>
      </c>
      <c r="M57" s="18" t="s">
        <v>139</v>
      </c>
      <c r="N57" s="18"/>
      <c r="O57" s="15"/>
    </row>
    <row r="58" spans="1:15" x14ac:dyDescent="0.25">
      <c r="I58" s="18"/>
      <c r="J58" s="18">
        <v>179</v>
      </c>
      <c r="K58" s="18" t="s">
        <v>22</v>
      </c>
      <c r="L58" s="6">
        <v>0.46875</v>
      </c>
      <c r="M58" s="18"/>
      <c r="N58" s="18"/>
      <c r="O58" s="15"/>
    </row>
    <row r="59" spans="1:15" x14ac:dyDescent="0.25">
      <c r="B59" t="s">
        <v>23</v>
      </c>
      <c r="D59" t="s">
        <v>60</v>
      </c>
      <c r="I59" s="18"/>
      <c r="J59" s="18">
        <v>179</v>
      </c>
      <c r="K59" s="18" t="s">
        <v>24</v>
      </c>
      <c r="L59" s="6">
        <v>0.46875</v>
      </c>
      <c r="M59" s="18"/>
      <c r="N59" s="18"/>
      <c r="O59" s="15"/>
    </row>
    <row r="60" spans="1:15" x14ac:dyDescent="0.25">
      <c r="D60" t="s">
        <v>25</v>
      </c>
      <c r="E60">
        <v>7.3780000000000001</v>
      </c>
      <c r="F60" t="s">
        <v>113</v>
      </c>
    </row>
    <row r="61" spans="1:15" x14ac:dyDescent="0.25">
      <c r="D61" t="s">
        <v>25</v>
      </c>
      <c r="E61" s="7">
        <f>+E60/7</f>
        <v>1.054</v>
      </c>
      <c r="F61" t="s">
        <v>26</v>
      </c>
    </row>
    <row r="62" spans="1:15" x14ac:dyDescent="0.25">
      <c r="D62" t="s">
        <v>25</v>
      </c>
      <c r="E62" s="35">
        <f>+E61*0.000001/J59</f>
        <v>5.8882681564245809E-9</v>
      </c>
      <c r="F62" t="s">
        <v>27</v>
      </c>
      <c r="G62" s="4" t="s">
        <v>49</v>
      </c>
      <c r="H62" s="4"/>
    </row>
    <row r="64" spans="1:15" x14ac:dyDescent="0.25">
      <c r="C64" s="29" t="s">
        <v>32</v>
      </c>
      <c r="D64" s="29" t="s">
        <v>115</v>
      </c>
      <c r="E64" s="29"/>
      <c r="F64" s="29" t="s">
        <v>33</v>
      </c>
      <c r="G64" s="30">
        <v>163409.03</v>
      </c>
      <c r="H64" s="29"/>
      <c r="I64" s="29"/>
      <c r="J64" s="30">
        <f>AVERAGE(G64:G66)</f>
        <v>158479.13</v>
      </c>
      <c r="K64" s="29" t="s">
        <v>114</v>
      </c>
      <c r="L64" s="31">
        <f>STDEV(G64:G66)</f>
        <v>4747.9585926479995</v>
      </c>
      <c r="M64" s="29" t="s">
        <v>34</v>
      </c>
      <c r="N64" s="30">
        <f>+L64*100/J64</f>
        <v>2.995951954461133</v>
      </c>
      <c r="O64" s="29" t="s">
        <v>35</v>
      </c>
    </row>
    <row r="65" spans="2:18" x14ac:dyDescent="0.25">
      <c r="C65" s="32" t="s">
        <v>25</v>
      </c>
      <c r="D65" s="33">
        <f>+E62/1000*0.01</f>
        <v>5.8882681564245802E-14</v>
      </c>
      <c r="E65" s="29" t="s">
        <v>36</v>
      </c>
      <c r="F65" s="29"/>
      <c r="G65" s="30">
        <v>158091.48000000001</v>
      </c>
      <c r="H65" s="29"/>
      <c r="I65" s="29"/>
      <c r="J65" s="30"/>
      <c r="K65" s="29"/>
      <c r="L65" s="29"/>
      <c r="M65" s="29"/>
    </row>
    <row r="66" spans="2:18" x14ac:dyDescent="0.25">
      <c r="C66" s="32" t="s">
        <v>37</v>
      </c>
      <c r="D66" s="29" t="s">
        <v>38</v>
      </c>
      <c r="E66" s="29"/>
      <c r="F66" s="29"/>
      <c r="G66" s="30">
        <v>153936.88</v>
      </c>
      <c r="H66" s="29"/>
      <c r="I66" s="29"/>
      <c r="J66" s="30"/>
      <c r="K66" s="29"/>
      <c r="L66" s="29"/>
      <c r="M66" s="29"/>
      <c r="N66" s="30">
        <f>+J64</f>
        <v>158479.13</v>
      </c>
      <c r="O66" s="29" t="s">
        <v>33</v>
      </c>
      <c r="P66" s="29"/>
      <c r="Q66" s="29"/>
      <c r="R66" s="29"/>
    </row>
    <row r="67" spans="2:18" x14ac:dyDescent="0.25">
      <c r="C67" s="29"/>
      <c r="D67" s="29"/>
      <c r="E67" s="29"/>
      <c r="F67" s="29"/>
      <c r="G67" s="29"/>
      <c r="H67" s="29"/>
      <c r="I67" s="29"/>
      <c r="J67" s="30"/>
      <c r="K67" s="29"/>
      <c r="L67" s="29"/>
      <c r="M67" s="29"/>
      <c r="N67" s="34">
        <f>+E61/100</f>
        <v>1.0540000000000001E-2</v>
      </c>
      <c r="O67" s="29" t="s">
        <v>39</v>
      </c>
      <c r="P67" s="29"/>
      <c r="Q67" s="29"/>
      <c r="R67" s="29"/>
    </row>
    <row r="68" spans="2:18" x14ac:dyDescent="0.25">
      <c r="C68" s="18"/>
      <c r="D68" s="18"/>
      <c r="E68" s="29"/>
      <c r="F68" s="29"/>
      <c r="G68" s="29"/>
      <c r="H68" s="18"/>
      <c r="I68" s="29"/>
      <c r="J68" s="30"/>
      <c r="K68" s="29"/>
      <c r="L68" s="29"/>
      <c r="M68" s="29"/>
      <c r="N68" s="32" t="s">
        <v>25</v>
      </c>
      <c r="O68" s="30">
        <f>+N66/N67</f>
        <v>15035970.588235293</v>
      </c>
      <c r="P68" s="29" t="s">
        <v>40</v>
      </c>
      <c r="Q68" s="29"/>
      <c r="R68" s="29"/>
    </row>
    <row r="69" spans="2:18" x14ac:dyDescent="0.25">
      <c r="C69" s="29"/>
      <c r="D69" s="29"/>
      <c r="E69" s="18"/>
      <c r="F69" s="18"/>
      <c r="G69" s="18"/>
      <c r="H69" s="18"/>
      <c r="I69" s="18"/>
      <c r="J69" s="18"/>
      <c r="K69" s="18"/>
      <c r="L69" s="18"/>
      <c r="M69" s="18"/>
      <c r="N69" s="32" t="s">
        <v>25</v>
      </c>
      <c r="O69" s="33">
        <f>+D65/N66</f>
        <v>3.7154849073342213E-19</v>
      </c>
      <c r="P69" s="29" t="s">
        <v>41</v>
      </c>
      <c r="Q69" s="29"/>
      <c r="R69" s="29"/>
    </row>
    <row r="70" spans="2:18" x14ac:dyDescent="0.25">
      <c r="B70" s="9" t="s">
        <v>48</v>
      </c>
      <c r="Q70" s="18"/>
      <c r="R70" s="18"/>
    </row>
    <row r="71" spans="2:18" ht="30" x14ac:dyDescent="0.25">
      <c r="C71" s="12" t="s">
        <v>50</v>
      </c>
      <c r="D71" s="13" t="s">
        <v>51</v>
      </c>
      <c r="G71" s="15"/>
      <c r="H71" s="15"/>
      <c r="I71" s="15"/>
      <c r="J71" s="15"/>
      <c r="K71" s="15"/>
      <c r="L71" s="21"/>
      <c r="M71" s="21"/>
      <c r="N71" s="21"/>
    </row>
    <row r="72" spans="2:18" x14ac:dyDescent="0.25">
      <c r="B72" t="s">
        <v>61</v>
      </c>
      <c r="C72" s="14">
        <v>180</v>
      </c>
      <c r="D72" t="s">
        <v>57</v>
      </c>
      <c r="G72" s="15"/>
      <c r="H72" s="15"/>
      <c r="I72" s="15"/>
      <c r="J72" s="15"/>
      <c r="K72" s="15"/>
      <c r="L72" s="15"/>
      <c r="M72" s="15"/>
      <c r="N72" s="22"/>
    </row>
    <row r="73" spans="2:18" x14ac:dyDescent="0.25">
      <c r="B73" t="s">
        <v>62</v>
      </c>
      <c r="C73" s="14">
        <v>180</v>
      </c>
      <c r="D73" t="s">
        <v>52</v>
      </c>
      <c r="G73" s="15"/>
      <c r="H73" s="15"/>
      <c r="I73" s="15"/>
      <c r="J73" s="15"/>
      <c r="K73" s="15"/>
      <c r="L73" s="15"/>
      <c r="M73" s="15"/>
      <c r="N73" s="22"/>
    </row>
    <row r="74" spans="2:18" x14ac:dyDescent="0.25">
      <c r="B74" t="s">
        <v>10</v>
      </c>
      <c r="C74" s="14">
        <v>180</v>
      </c>
      <c r="D74" t="s">
        <v>53</v>
      </c>
    </row>
    <row r="75" spans="2:18" x14ac:dyDescent="0.25">
      <c r="B75" t="s">
        <v>11</v>
      </c>
      <c r="C75" s="14">
        <v>180</v>
      </c>
      <c r="D75" t="s">
        <v>54</v>
      </c>
    </row>
    <row r="76" spans="2:18" x14ac:dyDescent="0.25">
      <c r="B76" t="s">
        <v>12</v>
      </c>
      <c r="C76" s="14">
        <v>180</v>
      </c>
      <c r="D76" t="s">
        <v>55</v>
      </c>
    </row>
    <row r="77" spans="2:18" x14ac:dyDescent="0.25">
      <c r="B77" t="s">
        <v>13</v>
      </c>
      <c r="C77" s="14">
        <v>180</v>
      </c>
      <c r="D77" t="s">
        <v>56</v>
      </c>
    </row>
    <row r="78" spans="2:18" x14ac:dyDescent="0.25">
      <c r="B78" t="s">
        <v>14</v>
      </c>
      <c r="C78" s="14">
        <v>180</v>
      </c>
      <c r="D78" t="s">
        <v>63</v>
      </c>
    </row>
    <row r="79" spans="2:18" x14ac:dyDescent="0.25">
      <c r="B79" t="s">
        <v>15</v>
      </c>
      <c r="C79" s="14">
        <v>180</v>
      </c>
      <c r="D79" t="s">
        <v>117</v>
      </c>
      <c r="E79" t="s">
        <v>130</v>
      </c>
    </row>
    <row r="80" spans="2:18" x14ac:dyDescent="0.25">
      <c r="G80" t="s">
        <v>131</v>
      </c>
    </row>
    <row r="81" spans="2:2" x14ac:dyDescent="0.25">
      <c r="B81" t="s">
        <v>116</v>
      </c>
    </row>
    <row r="82" spans="2:2" x14ac:dyDescent="0.25">
      <c r="B82" s="4" t="s">
        <v>118</v>
      </c>
    </row>
    <row r="83" spans="2:2" x14ac:dyDescent="0.25">
      <c r="B83" s="4" t="s">
        <v>119</v>
      </c>
    </row>
    <row r="84" spans="2:2" x14ac:dyDescent="0.25">
      <c r="B84" s="4" t="s">
        <v>120</v>
      </c>
    </row>
  </sheetData>
  <mergeCells count="6">
    <mergeCell ref="B51:B52"/>
    <mergeCell ref="C51:C52"/>
    <mergeCell ref="N72:N73"/>
    <mergeCell ref="L3:M3"/>
    <mergeCell ref="L21:M21"/>
    <mergeCell ref="D39:D40"/>
  </mergeCells>
  <pageMargins left="0.78740157480314965" right="0.78740157480314965" top="0.98425196850393704" bottom="0.98425196850393704" header="0.51181102362204722" footer="0.51181102362204722"/>
  <pageSetup paperSize="9" scale="63" orientation="landscape" verticalDpi="0" r:id="rId1"/>
  <rowBreaks count="1" manualBreakCount="1">
    <brk id="4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Region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2026-01-15T09:15:21Z</cp:lastPrinted>
  <dcterms:created xsi:type="dcterms:W3CDTF">2025-07-18T11:54:47Z</dcterms:created>
  <dcterms:modified xsi:type="dcterms:W3CDTF">2026-01-15T09:15:23Z</dcterms:modified>
</cp:coreProperties>
</file>