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HisSorb Plate Experimente\20251202_his-plate_IDH1-IDH1R132H_18FAG120\"/>
    </mc:Choice>
  </mc:AlternateContent>
  <xr:revisionPtr revIDLastSave="0" documentId="13_ncr:1_{BFAA34A9-86A1-4A45-BDD5-19EDC754D3AD}" xr6:coauthVersionLast="47" xr6:coauthVersionMax="47" xr10:uidLastSave="{00000000-0000-0000-0000-000000000000}"/>
  <bookViews>
    <workbookView xWindow="3660" yWindow="1860" windowWidth="23625" windowHeight="12810" xr2:uid="{00000000-000D-0000-FFFF-FFFF00000000}"/>
  </bookViews>
  <sheets>
    <sheet name="Region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9" i="1" l="1"/>
  <c r="N65" i="1" s="1"/>
  <c r="H26" i="1"/>
  <c r="I26" i="1"/>
  <c r="K26" i="1"/>
  <c r="J20" i="1"/>
  <c r="K17" i="1"/>
  <c r="L17" i="1" s="1"/>
  <c r="L71" i="1"/>
  <c r="M71" i="1" s="1"/>
  <c r="L70" i="1"/>
  <c r="M70" i="1" s="1"/>
  <c r="N70" i="1" s="1"/>
  <c r="G50" i="1"/>
  <c r="G49" i="1"/>
  <c r="P63" i="1"/>
  <c r="N63" i="1"/>
  <c r="N64" i="1" s="1"/>
  <c r="E60" i="1" l="1"/>
  <c r="D64" i="1" s="1"/>
  <c r="O67" i="1" s="1"/>
  <c r="Q63" i="1"/>
  <c r="O66" i="1"/>
  <c r="M23" i="1" l="1"/>
  <c r="M24" i="1"/>
  <c r="M25" i="1"/>
  <c r="M22" i="1"/>
  <c r="K12" i="1"/>
  <c r="K13" i="1"/>
  <c r="K14" i="1"/>
  <c r="K15" i="1"/>
  <c r="K16" i="1"/>
  <c r="K11" i="1"/>
  <c r="L11" i="1" s="1"/>
  <c r="L16" i="1" l="1"/>
  <c r="L15" i="1"/>
  <c r="L14" i="1"/>
  <c r="L13" i="1"/>
  <c r="H22" i="1"/>
  <c r="K22" i="1"/>
  <c r="I24" i="1"/>
  <c r="I21" i="1"/>
  <c r="L12" i="1"/>
  <c r="H24" i="1"/>
  <c r="H21" i="1"/>
  <c r="H20" i="1"/>
  <c r="I23" i="1"/>
  <c r="I20" i="1"/>
  <c r="H23" i="1"/>
  <c r="I25" i="1"/>
  <c r="I22" i="1"/>
  <c r="H25" i="1"/>
  <c r="K25" i="1" l="1"/>
  <c r="K20" i="1"/>
  <c r="K21" i="1"/>
  <c r="K24" i="1"/>
  <c r="K23" i="1"/>
</calcChain>
</file>

<file path=xl/sharedStrings.xml><?xml version="1.0" encoding="utf-8"?>
<sst xmlns="http://schemas.openxmlformats.org/spreadsheetml/2006/main" count="142" uniqueCount="117">
  <si>
    <t>Name</t>
  </si>
  <si>
    <t>Area [pixel]</t>
  </si>
  <si>
    <t>Intensity [QL]</t>
  </si>
  <si>
    <t>Intensity/Area [QL/pixel]</t>
  </si>
  <si>
    <t>TB_1</t>
  </si>
  <si>
    <t>TB_2</t>
  </si>
  <si>
    <t>BAY_1</t>
  </si>
  <si>
    <t>BAY_2</t>
  </si>
  <si>
    <t>TB</t>
  </si>
  <si>
    <t>UB (10-6 M BAY)</t>
  </si>
  <si>
    <t>AG-120</t>
  </si>
  <si>
    <t>QL/pixel</t>
  </si>
  <si>
    <t>mean</t>
  </si>
  <si>
    <t>% TB</t>
  </si>
  <si>
    <t>Raw data</t>
  </si>
  <si>
    <t>Specific binding</t>
  </si>
  <si>
    <t>%</t>
  </si>
  <si>
    <t>Daten für GraphPad Prism</t>
  </si>
  <si>
    <t>AG-120 (M)</t>
  </si>
  <si>
    <t>Binding assay His-tagged IDH1R132H, 18F-AG120 vs. AG-120</t>
  </si>
  <si>
    <t>Ni-NTA HisSorb Plate</t>
  </si>
  <si>
    <t>C</t>
  </si>
  <si>
    <t>D</t>
  </si>
  <si>
    <t>E</t>
  </si>
  <si>
    <t>F</t>
  </si>
  <si>
    <t>G</t>
  </si>
  <si>
    <t>H</t>
  </si>
  <si>
    <t>6 µl rec. His.tagged IDH1R132H (Abcam ab113858 
(1 mg/ml) + 2.5 ml PBS -&gt; 200 µl (=480 ng)/well, r.t., orbital shaker 12.15-15.00 -&gt; overnight fridge</t>
  </si>
  <si>
    <t>- aspiration of protein solution</t>
  </si>
  <si>
    <t>- invert plate and tap on paper to remove remaining liquid</t>
  </si>
  <si>
    <t>18F-AG120</t>
  </si>
  <si>
    <t>original</t>
  </si>
  <si>
    <t>Barbara Wenzel</t>
  </si>
  <si>
    <t>AM</t>
  </si>
  <si>
    <t>GBq/µmol</t>
  </si>
  <si>
    <t>working solution</t>
  </si>
  <si>
    <t>MBq/nmol</t>
  </si>
  <si>
    <t>=</t>
  </si>
  <si>
    <t>MBq/ml</t>
  </si>
  <si>
    <t>M</t>
  </si>
  <si>
    <t>Incubation buffer</t>
  </si>
  <si>
    <t>20 mM TRIS</t>
  </si>
  <si>
    <t>150 mM NaCl</t>
  </si>
  <si>
    <t>10 mM MgCl2</t>
  </si>
  <si>
    <t>0.0005 % Tween 20</t>
  </si>
  <si>
    <t>MW</t>
  </si>
  <si>
    <t>g ad 500 ml</t>
  </si>
  <si>
    <t>5 ml -&gt; 0.00045 %</t>
  </si>
  <si>
    <t xml:space="preserve">0,045 % stock </t>
  </si>
  <si>
    <t>DTT</t>
  </si>
  <si>
    <t>-&gt; 1 M</t>
  </si>
  <si>
    <t>100 ml buffer + 20 µl 1 M DTT -&gt; 0.2 mM</t>
  </si>
  <si>
    <t>0.2 mM DTT</t>
  </si>
  <si>
    <t>(used on 7.4.25 and 25.6.25)</t>
  </si>
  <si>
    <t>Test compounds</t>
  </si>
  <si>
    <t>BAY</t>
  </si>
  <si>
    <t>AG120</t>
  </si>
  <si>
    <t>standard</t>
  </si>
  <si>
    <t>samples taken from working solution at ~ 11 AM</t>
  </si>
  <si>
    <t>CPM</t>
  </si>
  <si>
    <t>mean (11  AM)</t>
  </si>
  <si>
    <t>sd</t>
  </si>
  <si>
    <t>% of mean</t>
  </si>
  <si>
    <t>mol</t>
  </si>
  <si>
    <t>-&gt;</t>
  </si>
  <si>
    <t>gamma counter (CPM)</t>
  </si>
  <si>
    <t>MBq (theoret.)</t>
  </si>
  <si>
    <t>CPM/MBq</t>
  </si>
  <si>
    <t>mol/CPM</t>
  </si>
  <si>
    <t>10 µl (= 13 kBq)</t>
  </si>
  <si>
    <t>DMSO</t>
  </si>
  <si>
    <t>1 µl 10 mM + 99 µl PBS</t>
  </si>
  <si>
    <t>1 % DMSO</t>
  </si>
  <si>
    <t>10 µl 1,00E-04 M + 90 ml PBS</t>
  </si>
  <si>
    <t>0.1 % DMSO</t>
  </si>
  <si>
    <t>etc.  bis 1,00E-08 M</t>
  </si>
  <si>
    <t>Dilution (10x)</t>
  </si>
  <si>
    <t>Incubation</t>
  </si>
  <si>
    <t>= working solution</t>
  </si>
  <si>
    <t>µl 18F-AG120 
working sol.</t>
  </si>
  <si>
    <t xml:space="preserve">+ 20 µl </t>
  </si>
  <si>
    <t>1,00E-05 BAY</t>
  </si>
  <si>
    <t>1,00E-05 AG120</t>
  </si>
  <si>
    <t>1,00E-06 AG120</t>
  </si>
  <si>
    <t>1,00E-07 AG120</t>
  </si>
  <si>
    <t>1,00E-08 AG120</t>
  </si>
  <si>
    <t>PBS</t>
  </si>
  <si>
    <t>from SEC experiment 20250716: 1 µl SEC working solution = 1,34E-14 mol</t>
  </si>
  <si>
    <t>from Ni-plate exp. : 1 µl Ni-working solution = 3,30E-15 mol</t>
  </si>
  <si>
    <t>QL (mean)</t>
  </si>
  <si>
    <t>mol/QL</t>
  </si>
  <si>
    <t>mean mol/QL</t>
  </si>
  <si>
    <t>AG_1_1</t>
  </si>
  <si>
    <t>AG_1_2</t>
  </si>
  <si>
    <t>AG_2-1</t>
  </si>
  <si>
    <t>AG_2-2</t>
  </si>
  <si>
    <t>AG_3-1</t>
  </si>
  <si>
    <t>AG_3-2</t>
  </si>
  <si>
    <t>AG_4-1</t>
  </si>
  <si>
    <t>AG_4-2</t>
  </si>
  <si>
    <t>AG_5-1</t>
  </si>
  <si>
    <t>AG_5-2</t>
  </si>
  <si>
    <t>TB-3</t>
  </si>
  <si>
    <t>blank</t>
  </si>
  <si>
    <t>to be added fresh on 02.12.!</t>
  </si>
  <si>
    <t>mg</t>
  </si>
  <si>
    <t xml:space="preserve">5,75 mg </t>
  </si>
  <si>
    <t>+ 37 µl water</t>
  </si>
  <si>
    <t>2.12.</t>
  </si>
  <si>
    <t>Einwaage 26.11.25</t>
  </si>
  <si>
    <t>- two times washing with 200 µl PBS/well</t>
  </si>
  <si>
    <t>Barbara Wenzel (email 04.12.)</t>
  </si>
  <si>
    <t>10 µl original + 7 ml 50 mM complete IDH buffer (+ DTT)</t>
  </si>
  <si>
    <t>MBq (11:00; Lab. 254)</t>
  </si>
  <si>
    <t>A</t>
  </si>
  <si>
    <t>B</t>
  </si>
  <si>
    <t>1,00E-09 AG120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</si>
</sst>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11" fontId="0" fillId="0" borderId="0" xfId="0" applyNumberFormat="1"/>
    <xf numFmtId="1" fontId="0" fillId="0" borderId="0" xfId="0" applyNumberFormat="1" applyProtection="1">
      <protection locked="0"/>
    </xf>
    <xf numFmtId="1" fontId="0" fillId="0" borderId="0" xfId="0" applyNumberFormat="1"/>
    <xf numFmtId="164" fontId="0" fillId="0" borderId="0" xfId="0" applyNumberFormat="1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applyFill="1"/>
    <xf numFmtId="1" fontId="0" fillId="0" borderId="0" xfId="0" applyNumberFormat="1" applyFill="1" applyAlignment="1">
      <alignment horizontal="left"/>
    </xf>
    <xf numFmtId="1" fontId="0" fillId="0" borderId="0" xfId="0" applyNumberFormat="1" applyFill="1"/>
    <xf numFmtId="20" fontId="0" fillId="0" borderId="0" xfId="0" applyNumberFormat="1" applyFont="1" applyFill="1"/>
    <xf numFmtId="165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0" borderId="0" xfId="0" applyFill="1" applyAlignment="1">
      <alignment wrapText="1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quotePrefix="1" applyFont="1"/>
    <xf numFmtId="11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left"/>
    </xf>
    <xf numFmtId="0" fontId="2" fillId="0" borderId="0" xfId="0" applyFont="1" applyFill="1"/>
    <xf numFmtId="1" fontId="2" fillId="0" borderId="0" xfId="0" applyNumberFormat="1" applyFont="1" applyFill="1"/>
    <xf numFmtId="1" fontId="2" fillId="0" borderId="0" xfId="0" applyNumberFormat="1" applyFont="1" applyFill="1" applyAlignment="1">
      <alignment horizontal="left"/>
    </xf>
    <xf numFmtId="0" fontId="2" fillId="0" borderId="0" xfId="0" quotePrefix="1" applyFont="1" applyFill="1" applyAlignment="1">
      <alignment horizontal="right"/>
    </xf>
    <xf numFmtId="11" fontId="2" fillId="0" borderId="0" xfId="0" applyNumberFormat="1" applyFont="1" applyFill="1"/>
    <xf numFmtId="165" fontId="2" fillId="0" borderId="0" xfId="0" applyNumberFormat="1" applyFont="1" applyFill="1"/>
    <xf numFmtId="0" fontId="2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7"/>
  <sheetViews>
    <sheetView tabSelected="1" zoomScale="70" zoomScaleNormal="70" workbookViewId="0">
      <selection activeCell="G69" sqref="G69:N71"/>
    </sheetView>
  </sheetViews>
  <sheetFormatPr baseColWidth="10" defaultRowHeight="15" x14ac:dyDescent="0.25"/>
  <cols>
    <col min="1" max="1" width="36" customWidth="1"/>
    <col min="3" max="3" width="14.7109375" customWidth="1"/>
    <col min="4" max="4" width="19.85546875" customWidth="1"/>
    <col min="7" max="7" width="17" customWidth="1"/>
    <col min="8" max="8" width="13.5703125" bestFit="1" customWidth="1"/>
    <col min="9" max="9" width="12.5703125" bestFit="1" customWidth="1"/>
    <col min="13" max="14" width="12" bestFit="1" customWidth="1"/>
  </cols>
  <sheetData>
    <row r="1" spans="1:12" x14ac:dyDescent="0.25">
      <c r="A1" s="13">
        <v>45993</v>
      </c>
      <c r="B1" s="15" t="s">
        <v>19</v>
      </c>
      <c r="C1" s="16"/>
      <c r="D1" s="16"/>
      <c r="E1" s="16"/>
    </row>
    <row r="4" spans="1:12" x14ac:dyDescent="0.25">
      <c r="A4" s="1" t="s">
        <v>0</v>
      </c>
      <c r="B4" s="1" t="s">
        <v>1</v>
      </c>
      <c r="C4" s="1" t="s">
        <v>2</v>
      </c>
      <c r="D4" s="1" t="s">
        <v>3</v>
      </c>
    </row>
    <row r="5" spans="1:12" x14ac:dyDescent="0.25">
      <c r="A5" s="1" t="s">
        <v>4</v>
      </c>
      <c r="B5" s="1">
        <v>247049</v>
      </c>
      <c r="C5" s="1">
        <v>49920974</v>
      </c>
      <c r="D5" s="3">
        <v>202.06911989119567</v>
      </c>
    </row>
    <row r="6" spans="1:12" x14ac:dyDescent="0.25">
      <c r="A6" s="1" t="s">
        <v>5</v>
      </c>
      <c r="B6" s="1">
        <v>247049</v>
      </c>
      <c r="C6" s="1">
        <v>27511528</v>
      </c>
      <c r="D6" s="3">
        <v>111.36061267198005</v>
      </c>
    </row>
    <row r="7" spans="1:12" x14ac:dyDescent="0.25">
      <c r="A7" s="1" t="s">
        <v>6</v>
      </c>
      <c r="B7" s="1">
        <v>247049</v>
      </c>
      <c r="C7" s="1">
        <v>14105150</v>
      </c>
      <c r="D7" s="3">
        <v>57.094543997344658</v>
      </c>
    </row>
    <row r="8" spans="1:12" x14ac:dyDescent="0.25">
      <c r="A8" s="1" t="s">
        <v>7</v>
      </c>
      <c r="B8" s="1">
        <v>247049</v>
      </c>
      <c r="C8" s="1">
        <v>13465442</v>
      </c>
      <c r="D8" s="3">
        <v>54.50514675226372</v>
      </c>
    </row>
    <row r="9" spans="1:12" x14ac:dyDescent="0.25">
      <c r="A9" s="1" t="s">
        <v>92</v>
      </c>
      <c r="B9" s="1">
        <v>247049</v>
      </c>
      <c r="C9" s="1">
        <v>15349338</v>
      </c>
      <c r="D9" s="3">
        <v>62.130743293840496</v>
      </c>
      <c r="G9" t="s">
        <v>14</v>
      </c>
    </row>
    <row r="10" spans="1:12" x14ac:dyDescent="0.25">
      <c r="A10" s="1" t="s">
        <v>93</v>
      </c>
      <c r="B10" s="1">
        <v>247049</v>
      </c>
      <c r="C10" s="1">
        <v>14859714</v>
      </c>
      <c r="D10" s="3">
        <v>60.148853061538397</v>
      </c>
      <c r="H10" s="20" t="s">
        <v>11</v>
      </c>
      <c r="I10" s="20"/>
      <c r="K10" t="s">
        <v>12</v>
      </c>
      <c r="L10" t="s">
        <v>13</v>
      </c>
    </row>
    <row r="11" spans="1:12" x14ac:dyDescent="0.25">
      <c r="A11" s="1" t="s">
        <v>94</v>
      </c>
      <c r="B11" s="1">
        <v>247049</v>
      </c>
      <c r="C11" s="1">
        <v>28780222</v>
      </c>
      <c r="D11" s="3">
        <v>116.49600686503487</v>
      </c>
      <c r="G11" t="s">
        <v>8</v>
      </c>
      <c r="H11" s="3">
        <v>202.06911989119567</v>
      </c>
      <c r="I11" s="3">
        <v>111.36061267198005</v>
      </c>
      <c r="J11">
        <v>105</v>
      </c>
      <c r="K11" s="4">
        <f>AVERAGE(H11:J11)</f>
        <v>139.47657752105857</v>
      </c>
      <c r="L11" s="5">
        <f>+K11*100/$K$11</f>
        <v>100</v>
      </c>
    </row>
    <row r="12" spans="1:12" x14ac:dyDescent="0.25">
      <c r="A12" s="1" t="s">
        <v>95</v>
      </c>
      <c r="B12" s="1">
        <v>247049</v>
      </c>
      <c r="C12" s="1">
        <v>25901537</v>
      </c>
      <c r="D12" s="3">
        <v>104.84372330995066</v>
      </c>
      <c r="G12" t="s">
        <v>9</v>
      </c>
      <c r="H12" s="3">
        <v>57.094543997344658</v>
      </c>
      <c r="I12" s="3">
        <v>54.50514675226372</v>
      </c>
      <c r="K12" s="4">
        <f t="shared" ref="K12:K16" si="0">AVERAGE(H12:J12)</f>
        <v>55.799845374804192</v>
      </c>
      <c r="L12" s="5">
        <f t="shared" ref="L12:L16" si="1">+K12*100/$K$11</f>
        <v>40.006606389792843</v>
      </c>
    </row>
    <row r="13" spans="1:12" x14ac:dyDescent="0.25">
      <c r="A13" s="1" t="s">
        <v>96</v>
      </c>
      <c r="B13" s="1">
        <v>247049</v>
      </c>
      <c r="C13" s="1">
        <v>35209760</v>
      </c>
      <c r="D13" s="3">
        <v>142.52136215892395</v>
      </c>
      <c r="F13" t="s">
        <v>10</v>
      </c>
      <c r="G13" s="2">
        <v>9.9999999999999995E-7</v>
      </c>
      <c r="H13" s="3">
        <v>62.130743293840496</v>
      </c>
      <c r="I13" s="3">
        <v>60.148853061538397</v>
      </c>
      <c r="K13" s="4">
        <f t="shared" si="0"/>
        <v>61.139798177689443</v>
      </c>
      <c r="L13" s="5">
        <f t="shared" si="1"/>
        <v>43.835172373984001</v>
      </c>
    </row>
    <row r="14" spans="1:12" x14ac:dyDescent="0.25">
      <c r="A14" s="1" t="s">
        <v>97</v>
      </c>
      <c r="B14" s="1">
        <v>247049</v>
      </c>
      <c r="C14" s="1">
        <v>31346989</v>
      </c>
      <c r="D14" s="3">
        <v>126.88571497961942</v>
      </c>
      <c r="G14" s="2">
        <v>9.9999999999999995E-8</v>
      </c>
      <c r="H14" s="3">
        <v>116.49600686503487</v>
      </c>
      <c r="I14" s="3">
        <v>104.84372330995066</v>
      </c>
      <c r="K14" s="4">
        <f t="shared" si="0"/>
        <v>110.66986508749277</v>
      </c>
      <c r="L14" s="5">
        <f t="shared" si="1"/>
        <v>79.346559153119102</v>
      </c>
    </row>
    <row r="15" spans="1:12" x14ac:dyDescent="0.25">
      <c r="A15" s="1" t="s">
        <v>98</v>
      </c>
      <c r="B15" s="1">
        <v>247049</v>
      </c>
      <c r="C15" s="1">
        <v>35822153</v>
      </c>
      <c r="D15" s="3">
        <v>145.00019429343976</v>
      </c>
      <c r="G15" s="2">
        <v>1E-8</v>
      </c>
      <c r="H15" s="3">
        <v>142.52136215892395</v>
      </c>
      <c r="I15" s="3">
        <v>126.88571497961942</v>
      </c>
      <c r="K15" s="4">
        <f t="shared" si="0"/>
        <v>134.7035385692717</v>
      </c>
      <c r="L15" s="5">
        <f t="shared" si="1"/>
        <v>96.57789211879232</v>
      </c>
    </row>
    <row r="16" spans="1:12" x14ac:dyDescent="0.25">
      <c r="A16" s="1" t="s">
        <v>99</v>
      </c>
      <c r="B16" s="1">
        <v>247049</v>
      </c>
      <c r="C16" s="1">
        <v>32109949</v>
      </c>
      <c r="D16" s="3">
        <v>129.97400920465171</v>
      </c>
      <c r="G16" s="2">
        <v>1.0000000000000001E-9</v>
      </c>
      <c r="H16" s="3">
        <v>145.00019429343976</v>
      </c>
      <c r="I16" s="3">
        <v>129.97400920465171</v>
      </c>
      <c r="K16" s="4">
        <f t="shared" si="0"/>
        <v>137.48710174904573</v>
      </c>
      <c r="L16" s="5">
        <f t="shared" si="1"/>
        <v>98.573612998417275</v>
      </c>
    </row>
    <row r="17" spans="1:13" x14ac:dyDescent="0.25">
      <c r="A17" s="1" t="s">
        <v>100</v>
      </c>
      <c r="B17" s="1">
        <v>247049</v>
      </c>
      <c r="C17" s="1">
        <v>32563178</v>
      </c>
      <c r="D17" s="3">
        <v>131.80858048403354</v>
      </c>
      <c r="G17" s="2">
        <v>1E-10</v>
      </c>
      <c r="H17" s="3">
        <v>131.80858048403354</v>
      </c>
      <c r="I17" s="3">
        <v>114.79612951276872</v>
      </c>
      <c r="K17" s="4">
        <f t="shared" ref="K17" si="2">AVERAGE(H17:J17)</f>
        <v>123.30235499840113</v>
      </c>
      <c r="L17" s="5">
        <f t="shared" ref="L17" si="3">+K17*100/$K$11</f>
        <v>88.403628186090671</v>
      </c>
    </row>
    <row r="18" spans="1:13" x14ac:dyDescent="0.25">
      <c r="A18" s="1" t="s">
        <v>101</v>
      </c>
      <c r="B18" s="1">
        <v>247049</v>
      </c>
      <c r="C18" s="1">
        <v>28360269</v>
      </c>
      <c r="D18" s="3">
        <v>114.79612951276872</v>
      </c>
    </row>
    <row r="19" spans="1:13" x14ac:dyDescent="0.25">
      <c r="A19" s="1" t="s">
        <v>102</v>
      </c>
      <c r="B19" s="1">
        <v>247049</v>
      </c>
      <c r="C19" s="1">
        <v>25993542</v>
      </c>
      <c r="D19" s="3">
        <v>105.21613930839631</v>
      </c>
      <c r="G19" t="s">
        <v>15</v>
      </c>
      <c r="H19" s="20" t="s">
        <v>16</v>
      </c>
      <c r="I19" s="20"/>
      <c r="K19" t="s">
        <v>12</v>
      </c>
      <c r="M19" t="s">
        <v>17</v>
      </c>
    </row>
    <row r="20" spans="1:13" x14ac:dyDescent="0.25">
      <c r="A20" s="1" t="s">
        <v>103</v>
      </c>
      <c r="B20" s="1">
        <v>247049</v>
      </c>
      <c r="C20" s="1">
        <v>12394840</v>
      </c>
      <c r="D20" s="3">
        <v>50.171585393990668</v>
      </c>
      <c r="G20" t="s">
        <v>8</v>
      </c>
      <c r="H20" s="4">
        <f>+(H11-$K$12)*100/($K$11-$K$12)</f>
        <v>174.80280451288982</v>
      </c>
      <c r="I20" s="4">
        <f>+(I11-$K$12)*100/($K$11-$K$12)</f>
        <v>66.399303452797341</v>
      </c>
      <c r="J20" s="4">
        <f>+(J11-$K$12)*100/($K$11-$K$12)</f>
        <v>58.797892034312859</v>
      </c>
      <c r="K20" s="4">
        <f>AVERAGE(H20:J20)</f>
        <v>100</v>
      </c>
    </row>
    <row r="21" spans="1:13" x14ac:dyDescent="0.25">
      <c r="A21" s="1"/>
      <c r="B21" s="1"/>
      <c r="C21" s="1"/>
      <c r="D21" s="1"/>
      <c r="G21" t="s">
        <v>9</v>
      </c>
      <c r="H21" s="4">
        <f t="shared" ref="H21:I21" si="4">+(H12-$K$12)*100/($K$11-$K$12)</f>
        <v>1.5472624101494865</v>
      </c>
      <c r="I21" s="4">
        <f t="shared" si="4"/>
        <v>-1.5472624101494952</v>
      </c>
      <c r="K21" s="4">
        <f t="shared" ref="K21:K25" si="5">AVERAGE(H21:J21)</f>
        <v>-4.3298697960381105E-15</v>
      </c>
      <c r="M21" t="s">
        <v>18</v>
      </c>
    </row>
    <row r="22" spans="1:13" x14ac:dyDescent="0.25">
      <c r="A22" s="1"/>
      <c r="B22" s="1"/>
      <c r="C22" s="1"/>
      <c r="D22" s="1"/>
      <c r="F22" t="s">
        <v>10</v>
      </c>
      <c r="G22" s="2">
        <v>9.9999999999999995E-7</v>
      </c>
      <c r="H22" s="4">
        <f t="shared" ref="H22:I22" si="6">+(H13-$K$12)*100/($K$11-$K$12)</f>
        <v>7.5659000496946316</v>
      </c>
      <c r="I22" s="4">
        <f t="shared" si="6"/>
        <v>5.1973918856352936</v>
      </c>
      <c r="K22" s="4">
        <f t="shared" si="5"/>
        <v>6.3816459676649622</v>
      </c>
      <c r="M22">
        <f>LOG10(G22)</f>
        <v>-6</v>
      </c>
    </row>
    <row r="23" spans="1:13" x14ac:dyDescent="0.25">
      <c r="A23" s="1"/>
      <c r="B23" s="1"/>
      <c r="C23" s="1"/>
      <c r="D23" s="1"/>
      <c r="G23" s="2">
        <v>9.9999999999999995E-8</v>
      </c>
      <c r="H23" s="4">
        <f t="shared" ref="H23:I23" si="7">+(H14-$K$12)*100/($K$11-$K$12)</f>
        <v>72.536486468117431</v>
      </c>
      <c r="I23" s="4">
        <f t="shared" si="7"/>
        <v>58.611129614174132</v>
      </c>
      <c r="K23" s="4">
        <f t="shared" si="5"/>
        <v>65.573808041145782</v>
      </c>
      <c r="M23">
        <f>LOG10(G23)</f>
        <v>-7</v>
      </c>
    </row>
    <row r="24" spans="1:13" x14ac:dyDescent="0.25">
      <c r="A24" s="1"/>
      <c r="B24" s="1"/>
      <c r="C24" s="1"/>
      <c r="D24" s="1"/>
      <c r="G24" s="2">
        <v>1E-8</v>
      </c>
      <c r="H24" s="4">
        <f t="shared" ref="H24:I24" si="8">+(H15-$K$12)*100/($K$11-$K$12)</f>
        <v>103.63874706835294</v>
      </c>
      <c r="I24" s="4">
        <f t="shared" si="8"/>
        <v>84.952970534948463</v>
      </c>
      <c r="K24" s="4">
        <f t="shared" si="5"/>
        <v>94.295858801650695</v>
      </c>
      <c r="M24">
        <f>LOG10(G24)</f>
        <v>-8</v>
      </c>
    </row>
    <row r="25" spans="1:13" x14ac:dyDescent="0.25">
      <c r="G25" s="2">
        <v>1.0000000000000001E-9</v>
      </c>
      <c r="H25" s="4">
        <f t="shared" ref="H25:I26" si="9">+(H16-$K$12)*100/($K$11-$K$12)</f>
        <v>106.6011382503881</v>
      </c>
      <c r="I25" s="4">
        <f t="shared" si="9"/>
        <v>88.643714838435841</v>
      </c>
      <c r="K25" s="4">
        <f t="shared" si="5"/>
        <v>97.622426544411979</v>
      </c>
      <c r="M25">
        <f>LOG10(G25)</f>
        <v>-9</v>
      </c>
    </row>
    <row r="26" spans="1:13" x14ac:dyDescent="0.25">
      <c r="G26" s="2">
        <v>1.0000000000000001E-9</v>
      </c>
      <c r="H26" s="4">
        <f t="shared" si="9"/>
        <v>90.836165753195857</v>
      </c>
      <c r="I26" s="4">
        <f t="shared" si="9"/>
        <v>70.505004945518024</v>
      </c>
      <c r="K26" s="4">
        <f t="shared" ref="K26" si="10">AVERAGE(H26:J26)</f>
        <v>80.670585349356941</v>
      </c>
      <c r="M26">
        <v>-10</v>
      </c>
    </row>
    <row r="29" spans="1:13" x14ac:dyDescent="0.25">
      <c r="A29" s="24">
        <v>45853</v>
      </c>
      <c r="B29" s="21" t="s">
        <v>20</v>
      </c>
      <c r="C29" s="21"/>
      <c r="D29" s="21" t="s">
        <v>53</v>
      </c>
      <c r="E29" s="21"/>
      <c r="G29" s="14" t="s">
        <v>40</v>
      </c>
    </row>
    <row r="30" spans="1:13" x14ac:dyDescent="0.25">
      <c r="A30" s="21"/>
      <c r="B30" s="21"/>
      <c r="C30" s="21"/>
      <c r="D30" s="21"/>
      <c r="E30" s="21"/>
      <c r="H30" t="s">
        <v>45</v>
      </c>
      <c r="I30" t="s">
        <v>46</v>
      </c>
    </row>
    <row r="31" spans="1:13" x14ac:dyDescent="0.25">
      <c r="A31" s="21"/>
      <c r="B31" s="21"/>
      <c r="C31" s="22">
        <v>9</v>
      </c>
      <c r="D31" s="22">
        <v>10</v>
      </c>
      <c r="E31" s="21"/>
      <c r="G31" t="s">
        <v>41</v>
      </c>
      <c r="H31">
        <v>121.14</v>
      </c>
      <c r="I31">
        <v>1.21</v>
      </c>
    </row>
    <row r="32" spans="1:13" x14ac:dyDescent="0.25">
      <c r="A32" s="21"/>
      <c r="B32" s="21" t="s">
        <v>21</v>
      </c>
      <c r="C32" s="23" t="s">
        <v>27</v>
      </c>
      <c r="D32" s="23"/>
      <c r="E32" s="21"/>
      <c r="G32" t="s">
        <v>42</v>
      </c>
      <c r="H32">
        <v>58.44</v>
      </c>
      <c r="I32">
        <v>4.38</v>
      </c>
    </row>
    <row r="33" spans="1:11" x14ac:dyDescent="0.25">
      <c r="A33" s="21"/>
      <c r="B33" s="21" t="s">
        <v>22</v>
      </c>
      <c r="C33" s="23"/>
      <c r="D33" s="23"/>
      <c r="E33" s="21"/>
      <c r="G33" t="s">
        <v>43</v>
      </c>
      <c r="H33">
        <v>95.21</v>
      </c>
      <c r="I33">
        <v>0.47599999999999998</v>
      </c>
    </row>
    <row r="34" spans="1:11" x14ac:dyDescent="0.25">
      <c r="A34" s="21"/>
      <c r="B34" s="21" t="s">
        <v>23</v>
      </c>
      <c r="C34" s="23"/>
      <c r="D34" s="23"/>
      <c r="E34" s="21"/>
      <c r="G34" t="s">
        <v>44</v>
      </c>
      <c r="H34" s="7" t="s">
        <v>48</v>
      </c>
      <c r="I34" t="s">
        <v>47</v>
      </c>
    </row>
    <row r="35" spans="1:11" x14ac:dyDescent="0.25">
      <c r="A35" s="21"/>
      <c r="B35" s="21" t="s">
        <v>24</v>
      </c>
      <c r="C35" s="23"/>
      <c r="D35" s="23"/>
      <c r="E35" s="21"/>
      <c r="G35" t="s">
        <v>52</v>
      </c>
      <c r="H35">
        <v>154.30000000000001</v>
      </c>
      <c r="I35">
        <v>1.4999999999999999E-2</v>
      </c>
      <c r="J35" t="s">
        <v>104</v>
      </c>
    </row>
    <row r="36" spans="1:11" x14ac:dyDescent="0.25">
      <c r="A36" s="21"/>
      <c r="B36" s="21" t="s">
        <v>25</v>
      </c>
      <c r="C36" s="23"/>
      <c r="D36" s="23"/>
      <c r="E36" s="21"/>
    </row>
    <row r="37" spans="1:11" x14ac:dyDescent="0.25">
      <c r="A37" s="21"/>
      <c r="B37" s="21" t="s">
        <v>26</v>
      </c>
      <c r="C37" s="23"/>
      <c r="D37" s="23"/>
      <c r="E37" s="21"/>
      <c r="H37" t="s">
        <v>49</v>
      </c>
      <c r="I37">
        <v>5.75</v>
      </c>
      <c r="J37" t="s">
        <v>105</v>
      </c>
      <c r="K37" t="s">
        <v>109</v>
      </c>
    </row>
    <row r="38" spans="1:11" x14ac:dyDescent="0.25">
      <c r="H38" s="7"/>
      <c r="I38" s="6"/>
      <c r="J38" s="6"/>
      <c r="K38" s="6"/>
    </row>
    <row r="39" spans="1:11" x14ac:dyDescent="0.25">
      <c r="H39" s="7"/>
    </row>
    <row r="40" spans="1:11" x14ac:dyDescent="0.25">
      <c r="A40" s="30">
        <v>45993</v>
      </c>
      <c r="B40" s="26" t="s">
        <v>20</v>
      </c>
      <c r="C40" s="26"/>
      <c r="D40" s="26"/>
      <c r="E40" s="26"/>
      <c r="F40" s="21"/>
      <c r="G40" s="14" t="s">
        <v>40</v>
      </c>
    </row>
    <row r="41" spans="1:11" x14ac:dyDescent="0.25">
      <c r="A41" s="26"/>
      <c r="B41" s="26"/>
      <c r="C41" s="26"/>
      <c r="D41" s="26"/>
      <c r="E41" s="26"/>
      <c r="F41" s="21"/>
    </row>
    <row r="42" spans="1:11" x14ac:dyDescent="0.25">
      <c r="A42" s="26"/>
      <c r="B42" s="27" t="s">
        <v>28</v>
      </c>
      <c r="C42" s="26"/>
      <c r="D42" s="26"/>
      <c r="E42" s="26"/>
      <c r="F42" s="21"/>
      <c r="H42" t="s">
        <v>49</v>
      </c>
      <c r="I42" t="s">
        <v>106</v>
      </c>
      <c r="J42" t="s">
        <v>109</v>
      </c>
    </row>
    <row r="43" spans="1:11" x14ac:dyDescent="0.25">
      <c r="A43" s="26"/>
      <c r="B43" s="27" t="s">
        <v>110</v>
      </c>
      <c r="C43" s="26"/>
      <c r="D43" s="26"/>
      <c r="E43" s="26"/>
      <c r="F43" s="21"/>
      <c r="H43" s="7" t="s">
        <v>108</v>
      </c>
      <c r="I43" s="6" t="s">
        <v>107</v>
      </c>
      <c r="J43" s="6" t="s">
        <v>50</v>
      </c>
      <c r="K43" s="6"/>
    </row>
    <row r="44" spans="1:11" x14ac:dyDescent="0.25">
      <c r="A44" s="26"/>
      <c r="B44" s="27" t="s">
        <v>29</v>
      </c>
      <c r="C44" s="26"/>
      <c r="D44" s="26"/>
      <c r="E44" s="26"/>
      <c r="F44" s="21"/>
      <c r="H44" s="7" t="s">
        <v>108</v>
      </c>
      <c r="I44" t="s">
        <v>51</v>
      </c>
    </row>
    <row r="45" spans="1:11" x14ac:dyDescent="0.25">
      <c r="A45" s="21"/>
      <c r="B45" s="21"/>
      <c r="C45" s="21"/>
      <c r="D45" s="21"/>
      <c r="E45" s="21"/>
      <c r="F45" s="21"/>
    </row>
    <row r="46" spans="1:11" x14ac:dyDescent="0.25">
      <c r="A46" s="21"/>
      <c r="B46" s="21"/>
      <c r="C46" s="21"/>
      <c r="D46" s="21"/>
      <c r="E46" s="21"/>
      <c r="F46" s="21"/>
      <c r="H46" s="14"/>
    </row>
    <row r="47" spans="1:11" x14ac:dyDescent="0.25">
      <c r="A47" s="21"/>
      <c r="B47" s="26" t="s">
        <v>54</v>
      </c>
      <c r="C47" s="26"/>
      <c r="D47" s="26"/>
      <c r="E47" s="26" t="s">
        <v>76</v>
      </c>
      <c r="F47" s="26"/>
    </row>
    <row r="48" spans="1:11" x14ac:dyDescent="0.25">
      <c r="A48" s="21"/>
      <c r="B48" s="27"/>
      <c r="C48" s="26"/>
      <c r="D48" s="26"/>
      <c r="E48" s="26"/>
      <c r="F48" s="26"/>
    </row>
    <row r="49" spans="1:18" x14ac:dyDescent="0.25">
      <c r="A49" s="21"/>
      <c r="B49" s="26" t="s">
        <v>55</v>
      </c>
      <c r="C49" s="28">
        <v>0.01</v>
      </c>
      <c r="D49" s="29" t="s">
        <v>70</v>
      </c>
      <c r="E49" s="26" t="s">
        <v>71</v>
      </c>
      <c r="F49" s="26"/>
      <c r="G49" s="2">
        <f>1*0.01/100</f>
        <v>1E-4</v>
      </c>
      <c r="H49" t="s">
        <v>39</v>
      </c>
      <c r="I49" t="s">
        <v>72</v>
      </c>
    </row>
    <row r="50" spans="1:18" x14ac:dyDescent="0.25">
      <c r="A50" s="21"/>
      <c r="B50" s="26" t="s">
        <v>56</v>
      </c>
      <c r="C50" s="29"/>
      <c r="D50" s="29"/>
      <c r="E50" s="26" t="s">
        <v>73</v>
      </c>
      <c r="F50" s="26"/>
      <c r="G50" s="2">
        <f>10*0.0001/100</f>
        <v>1.0000000000000001E-5</v>
      </c>
      <c r="H50" t="s">
        <v>39</v>
      </c>
      <c r="I50" t="s">
        <v>74</v>
      </c>
    </row>
    <row r="51" spans="1:18" x14ac:dyDescent="0.25">
      <c r="A51" s="21"/>
      <c r="B51" s="26"/>
      <c r="C51" s="26"/>
      <c r="D51" s="26"/>
      <c r="E51" s="26" t="s">
        <v>75</v>
      </c>
      <c r="F51" s="26"/>
    </row>
    <row r="52" spans="1:18" x14ac:dyDescent="0.25">
      <c r="A52" s="21"/>
      <c r="B52" s="21"/>
      <c r="C52" s="21"/>
      <c r="D52" s="21"/>
      <c r="E52" s="21"/>
      <c r="F52" s="21"/>
    </row>
    <row r="53" spans="1:18" x14ac:dyDescent="0.25">
      <c r="B53" s="14" t="s">
        <v>30</v>
      </c>
    </row>
    <row r="55" spans="1:18" x14ac:dyDescent="0.25">
      <c r="B55" t="s">
        <v>31</v>
      </c>
      <c r="C55" t="s">
        <v>32</v>
      </c>
      <c r="I55" t="s">
        <v>33</v>
      </c>
      <c r="J55">
        <v>294</v>
      </c>
      <c r="K55" t="s">
        <v>34</v>
      </c>
      <c r="L55" s="11">
        <v>0.44027777777777777</v>
      </c>
      <c r="M55" t="s">
        <v>111</v>
      </c>
    </row>
    <row r="56" spans="1:18" x14ac:dyDescent="0.25">
      <c r="J56">
        <v>249</v>
      </c>
      <c r="K56" t="s">
        <v>34</v>
      </c>
      <c r="L56" s="11">
        <v>0.45833333333333331</v>
      </c>
    </row>
    <row r="57" spans="1:18" x14ac:dyDescent="0.25">
      <c r="B57" t="s">
        <v>35</v>
      </c>
      <c r="D57" t="s">
        <v>112</v>
      </c>
      <c r="J57">
        <v>249</v>
      </c>
      <c r="K57" t="s">
        <v>36</v>
      </c>
      <c r="L57" s="11">
        <v>0.45833333333333331</v>
      </c>
    </row>
    <row r="58" spans="1:18" x14ac:dyDescent="0.25">
      <c r="D58" t="s">
        <v>37</v>
      </c>
      <c r="E58">
        <v>6.5750000000000002</v>
      </c>
      <c r="F58" t="s">
        <v>113</v>
      </c>
    </row>
    <row r="59" spans="1:18" x14ac:dyDescent="0.25">
      <c r="D59" t="s">
        <v>37</v>
      </c>
      <c r="E59" s="12">
        <f>+E58/7</f>
        <v>0.93928571428571428</v>
      </c>
      <c r="F59" t="s">
        <v>38</v>
      </c>
    </row>
    <row r="60" spans="1:18" x14ac:dyDescent="0.25">
      <c r="D60" t="s">
        <v>37</v>
      </c>
      <c r="E60" s="2">
        <f>+E59*0.000001/J57</f>
        <v>3.7722317842799768E-9</v>
      </c>
      <c r="F60" t="s">
        <v>39</v>
      </c>
      <c r="G60" s="6" t="s">
        <v>78</v>
      </c>
      <c r="H60" s="6"/>
    </row>
    <row r="63" spans="1:18" x14ac:dyDescent="0.25">
      <c r="C63" s="31" t="s">
        <v>57</v>
      </c>
      <c r="D63" s="31" t="s">
        <v>69</v>
      </c>
      <c r="E63" s="31"/>
      <c r="F63" s="31" t="s">
        <v>58</v>
      </c>
      <c r="G63" s="31"/>
      <c r="H63" s="31"/>
      <c r="I63" s="31"/>
      <c r="J63" s="32">
        <v>193145</v>
      </c>
      <c r="K63" s="31" t="s">
        <v>59</v>
      </c>
      <c r="L63" s="31" t="s">
        <v>60</v>
      </c>
      <c r="M63" s="31"/>
      <c r="N63" s="33">
        <f>AVERAGE(J63:J65)</f>
        <v>198975.33333333334</v>
      </c>
      <c r="O63" s="31" t="s">
        <v>61</v>
      </c>
      <c r="P63" s="9">
        <f>STDEV(J63:J67)</f>
        <v>5499.5281918845849</v>
      </c>
      <c r="Q63" s="10">
        <f>+P63*100/N63</f>
        <v>2.7639246029916196</v>
      </c>
      <c r="R63" s="8" t="s">
        <v>62</v>
      </c>
    </row>
    <row r="64" spans="1:18" x14ac:dyDescent="0.25">
      <c r="C64" s="34" t="s">
        <v>37</v>
      </c>
      <c r="D64" s="35">
        <f>+E60/1000*0.01</f>
        <v>3.772231784279977E-14</v>
      </c>
      <c r="E64" s="31" t="s">
        <v>63</v>
      </c>
      <c r="F64" s="31"/>
      <c r="G64" s="31"/>
      <c r="H64" s="31"/>
      <c r="I64" s="31"/>
      <c r="J64" s="32">
        <v>199711</v>
      </c>
      <c r="K64" s="31"/>
      <c r="L64" s="31"/>
      <c r="M64" s="31"/>
      <c r="N64" s="32">
        <f>+N63</f>
        <v>198975.33333333334</v>
      </c>
      <c r="O64" s="31" t="s">
        <v>59</v>
      </c>
      <c r="P64" s="8"/>
      <c r="Q64" s="8"/>
      <c r="R64" s="8"/>
    </row>
    <row r="65" spans="2:18" x14ac:dyDescent="0.25">
      <c r="C65" s="34" t="s">
        <v>64</v>
      </c>
      <c r="D65" s="31" t="s">
        <v>65</v>
      </c>
      <c r="E65" s="31"/>
      <c r="F65" s="31"/>
      <c r="G65" s="31"/>
      <c r="H65" s="31"/>
      <c r="I65" s="31"/>
      <c r="J65" s="32">
        <v>204070</v>
      </c>
      <c r="K65" s="31"/>
      <c r="L65" s="31"/>
      <c r="M65" s="31"/>
      <c r="N65" s="36">
        <f>+E59/100</f>
        <v>9.392857142857142E-3</v>
      </c>
      <c r="O65" s="31" t="s">
        <v>66</v>
      </c>
      <c r="P65" s="8"/>
      <c r="Q65" s="8"/>
      <c r="R65" s="8"/>
    </row>
    <row r="66" spans="2:18" x14ac:dyDescent="0.25">
      <c r="C66" s="31"/>
      <c r="D66" s="31"/>
      <c r="E66" s="31"/>
      <c r="F66" s="31"/>
      <c r="G66" s="31"/>
      <c r="H66" s="31"/>
      <c r="I66" s="31"/>
      <c r="J66" s="32"/>
      <c r="K66" s="31"/>
      <c r="L66" s="31"/>
      <c r="M66" s="31"/>
      <c r="N66" s="34" t="s">
        <v>37</v>
      </c>
      <c r="O66" s="32">
        <f>+N64/N65</f>
        <v>21183685.678073514</v>
      </c>
      <c r="P66" s="8" t="s">
        <v>67</v>
      </c>
      <c r="Q66" s="8"/>
      <c r="R66" s="8"/>
    </row>
    <row r="67" spans="2:18" x14ac:dyDescent="0.25">
      <c r="C67" s="21"/>
      <c r="D67" s="21"/>
      <c r="E67" s="31"/>
      <c r="F67" s="31"/>
      <c r="G67" s="31"/>
      <c r="H67" s="21"/>
      <c r="I67" s="31"/>
      <c r="J67" s="32"/>
      <c r="K67" s="31"/>
      <c r="L67" s="31"/>
      <c r="M67" s="31"/>
      <c r="N67" s="34" t="s">
        <v>37</v>
      </c>
      <c r="O67" s="35">
        <f>+D64/N64</f>
        <v>1.8958288553086865E-19</v>
      </c>
      <c r="P67" s="8" t="s">
        <v>68</v>
      </c>
      <c r="Q67" s="8"/>
      <c r="R67" s="8"/>
    </row>
    <row r="68" spans="2:18" x14ac:dyDescent="0.25">
      <c r="B68" s="14" t="s">
        <v>77</v>
      </c>
      <c r="C68" s="8"/>
      <c r="D68" s="8"/>
    </row>
    <row r="69" spans="2:18" ht="30" x14ac:dyDescent="0.25">
      <c r="C69" s="17" t="s">
        <v>79</v>
      </c>
      <c r="D69" s="18" t="s">
        <v>80</v>
      </c>
      <c r="G69" s="21"/>
      <c r="H69" s="21"/>
      <c r="I69" s="21"/>
      <c r="J69" s="21"/>
      <c r="K69" s="21"/>
      <c r="L69" s="37" t="s">
        <v>89</v>
      </c>
      <c r="M69" s="37" t="s">
        <v>90</v>
      </c>
      <c r="N69" s="37" t="s">
        <v>91</v>
      </c>
    </row>
    <row r="70" spans="2:18" x14ac:dyDescent="0.25">
      <c r="B70" t="s">
        <v>114</v>
      </c>
      <c r="C70" s="19">
        <v>180</v>
      </c>
      <c r="D70" t="s">
        <v>86</v>
      </c>
      <c r="G70" s="21" t="s">
        <v>87</v>
      </c>
      <c r="H70" s="21"/>
      <c r="I70" s="21"/>
      <c r="J70" s="21"/>
      <c r="K70" s="21"/>
      <c r="L70" s="21">
        <f>AVERAGE(C5:C8)</f>
        <v>26250773.5</v>
      </c>
      <c r="M70" s="21">
        <f>0.0000000000000134/L70</f>
        <v>5.104611488876699E-22</v>
      </c>
      <c r="N70" s="25">
        <f>AVERAGE(M70,M71)</f>
        <v>3.6446935492592354E-22</v>
      </c>
    </row>
    <row r="71" spans="2:18" x14ac:dyDescent="0.25">
      <c r="B71" t="s">
        <v>115</v>
      </c>
      <c r="C71" s="19">
        <v>180</v>
      </c>
      <c r="D71" t="s">
        <v>81</v>
      </c>
      <c r="G71" s="21" t="s">
        <v>88</v>
      </c>
      <c r="H71" s="21"/>
      <c r="I71" s="21"/>
      <c r="J71" s="21"/>
      <c r="K71" s="21"/>
      <c r="L71" s="21">
        <f>AVERAGE(C9:C10)</f>
        <v>15104526</v>
      </c>
      <c r="M71" s="21">
        <f>0.0000000000000033/L71</f>
        <v>2.1847756096417722E-22</v>
      </c>
      <c r="N71" s="25"/>
    </row>
    <row r="72" spans="2:18" x14ac:dyDescent="0.25">
      <c r="B72" t="s">
        <v>21</v>
      </c>
      <c r="C72" s="19">
        <v>180</v>
      </c>
      <c r="D72" t="s">
        <v>82</v>
      </c>
    </row>
    <row r="73" spans="2:18" x14ac:dyDescent="0.25">
      <c r="B73" t="s">
        <v>22</v>
      </c>
      <c r="C73" s="19">
        <v>180</v>
      </c>
      <c r="D73" t="s">
        <v>83</v>
      </c>
    </row>
    <row r="74" spans="2:18" x14ac:dyDescent="0.25">
      <c r="B74" t="s">
        <v>23</v>
      </c>
      <c r="C74" s="19">
        <v>180</v>
      </c>
      <c r="D74" t="s">
        <v>84</v>
      </c>
    </row>
    <row r="75" spans="2:18" x14ac:dyDescent="0.25">
      <c r="B75" t="s">
        <v>24</v>
      </c>
      <c r="C75" s="19">
        <v>180</v>
      </c>
      <c r="D75" t="s">
        <v>85</v>
      </c>
    </row>
    <row r="76" spans="2:18" x14ac:dyDescent="0.25">
      <c r="B76" t="s">
        <v>25</v>
      </c>
      <c r="C76" s="19">
        <v>180</v>
      </c>
      <c r="D76" t="s">
        <v>116</v>
      </c>
    </row>
    <row r="77" spans="2:18" x14ac:dyDescent="0.25">
      <c r="B77" t="s">
        <v>26</v>
      </c>
      <c r="C77" s="19">
        <v>180</v>
      </c>
      <c r="D77" t="s">
        <v>86</v>
      </c>
    </row>
  </sheetData>
  <mergeCells count="6">
    <mergeCell ref="N70:N71"/>
    <mergeCell ref="H10:I10"/>
    <mergeCell ref="H19:I19"/>
    <mergeCell ref="C32:D37"/>
    <mergeCell ref="C49:C50"/>
    <mergeCell ref="D49:D50"/>
  </mergeCells>
  <pageMargins left="0.78740157499999996" right="0.78740157499999996" top="0.984251969" bottom="0.984251969" header="0.4921259845" footer="0.49212598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Region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2025-12-10T13:59:42Z</cp:lastPrinted>
  <dcterms:created xsi:type="dcterms:W3CDTF">2025-07-18T11:54:47Z</dcterms:created>
  <dcterms:modified xsi:type="dcterms:W3CDTF">2025-12-10T14:00:01Z</dcterms:modified>
</cp:coreProperties>
</file>