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Experimente\AG-120\"/>
    </mc:Choice>
  </mc:AlternateContent>
  <xr:revisionPtr revIDLastSave="0" documentId="13_ncr:1_{7E034A8E-1ED4-4B1B-9E29-57C3B4B49C32}" xr6:coauthVersionLast="47" xr6:coauthVersionMax="47" xr10:uidLastSave="{00000000-0000-0000-0000-000000000000}"/>
  <bookViews>
    <workbookView xWindow="1275" yWindow="1665" windowWidth="22710" windowHeight="11385" xr2:uid="{00000000-000D-0000-FFFF-FFFF00000000}"/>
  </bookViews>
  <sheets>
    <sheet name="Tabelle1" sheetId="1" r:id="rId1"/>
    <sheet name="Tabelle2" sheetId="2" r:id="rId2"/>
  </sheets>
  <definedNames>
    <definedName name="_xlnm.Print_Area" localSheetId="0">Tabelle1!$A$1:$AE$141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68" i="1" l="1"/>
  <c r="X67" i="1"/>
  <c r="AB67" i="1" s="1"/>
  <c r="V67" i="1"/>
  <c r="V66" i="1"/>
  <c r="X66" i="1" s="1"/>
  <c r="V65" i="1"/>
  <c r="X65" i="1" s="1"/>
  <c r="V64" i="1"/>
  <c r="X64" i="1" s="1"/>
  <c r="AA63" i="1"/>
  <c r="X63" i="1"/>
  <c r="Z63" i="1" s="1"/>
  <c r="V63" i="1"/>
  <c r="X68" i="1" s="1"/>
  <c r="N38" i="1"/>
  <c r="N39" i="1"/>
  <c r="N37" i="1"/>
  <c r="T32" i="1"/>
  <c r="U32" i="1" s="1"/>
  <c r="T31" i="1"/>
  <c r="T30" i="1"/>
  <c r="U30" i="1" s="1"/>
  <c r="T29" i="1"/>
  <c r="U29" i="1" s="1"/>
  <c r="B5" i="1"/>
  <c r="K25" i="1"/>
  <c r="J14" i="1"/>
  <c r="L14" i="1"/>
  <c r="AA64" i="1" l="1"/>
  <c r="Z64" i="1"/>
  <c r="AB64" i="1"/>
  <c r="AB66" i="1"/>
  <c r="AA66" i="1"/>
  <c r="Z66" i="1"/>
  <c r="AB65" i="1"/>
  <c r="AA65" i="1"/>
  <c r="Z65" i="1"/>
  <c r="AB68" i="1"/>
  <c r="AA68" i="1"/>
  <c r="Z68" i="1"/>
  <c r="AB63" i="1"/>
  <c r="Z67" i="1"/>
  <c r="AA67" i="1"/>
  <c r="U31" i="1"/>
  <c r="L30" i="1" l="1"/>
  <c r="L31" i="1"/>
  <c r="L32" i="1"/>
  <c r="L29" i="1"/>
  <c r="L28" i="1"/>
  <c r="E16" i="1"/>
  <c r="H74" i="1" l="1"/>
  <c r="J74" i="1" s="1"/>
  <c r="H75" i="1"/>
  <c r="J75" i="1" s="1"/>
  <c r="H76" i="1"/>
  <c r="J76" i="1" s="1"/>
  <c r="H77" i="1"/>
  <c r="J77" i="1" s="1"/>
  <c r="H78" i="1"/>
  <c r="J78" i="1" s="1"/>
  <c r="H79" i="1"/>
  <c r="J79" i="1" s="1"/>
  <c r="H73" i="1"/>
  <c r="J73" i="1" s="1"/>
  <c r="H68" i="1"/>
  <c r="J68" i="1" s="1"/>
  <c r="H63" i="1"/>
  <c r="J63" i="1" s="1"/>
  <c r="H64" i="1"/>
  <c r="J64" i="1" s="1"/>
  <c r="H65" i="1"/>
  <c r="J65" i="1" s="1"/>
  <c r="H66" i="1"/>
  <c r="J66" i="1" s="1"/>
  <c r="H67" i="1"/>
  <c r="J67" i="1" s="1"/>
  <c r="H62" i="1"/>
  <c r="J62" i="1" s="1"/>
  <c r="H52" i="1"/>
  <c r="J52" i="1" s="1"/>
  <c r="H53" i="1"/>
  <c r="J53" i="1" s="1"/>
  <c r="H54" i="1"/>
  <c r="J54" i="1" s="1"/>
  <c r="H55" i="1"/>
  <c r="J55" i="1" s="1"/>
  <c r="H56" i="1"/>
  <c r="J56" i="1" s="1"/>
  <c r="H57" i="1"/>
  <c r="J57" i="1" s="1"/>
  <c r="H51" i="1"/>
  <c r="J51" i="1" s="1"/>
  <c r="P57" i="1" l="1"/>
  <c r="P68" i="1" s="1"/>
  <c r="P77" i="1" s="1"/>
  <c r="P53" i="1"/>
  <c r="P64" i="1" s="1"/>
  <c r="P73" i="1" s="1"/>
  <c r="P54" i="1"/>
  <c r="P65" i="1" s="1"/>
  <c r="P74" i="1" s="1"/>
  <c r="P55" i="1"/>
  <c r="P66" i="1" s="1"/>
  <c r="P75" i="1" s="1"/>
  <c r="P56" i="1"/>
  <c r="P67" i="1" s="1"/>
  <c r="P76" i="1" s="1"/>
  <c r="O57" i="1"/>
  <c r="O68" i="1" s="1"/>
  <c r="O77" i="1" s="1"/>
  <c r="O53" i="1"/>
  <c r="O64" i="1" s="1"/>
  <c r="O73" i="1" s="1"/>
  <c r="O54" i="1"/>
  <c r="O65" i="1" s="1"/>
  <c r="O74" i="1" s="1"/>
  <c r="O55" i="1"/>
  <c r="O66" i="1" s="1"/>
  <c r="O75" i="1" s="1"/>
  <c r="O56" i="1"/>
  <c r="O67" i="1" s="1"/>
  <c r="O76" i="1" s="1"/>
  <c r="Q53" i="1"/>
  <c r="Q64" i="1" s="1"/>
  <c r="Q73" i="1" s="1"/>
  <c r="Q54" i="1"/>
  <c r="Q65" i="1" s="1"/>
  <c r="Q74" i="1" s="1"/>
  <c r="Q55" i="1"/>
  <c r="Q66" i="1" s="1"/>
  <c r="Q75" i="1" s="1"/>
  <c r="Q56" i="1"/>
  <c r="Q67" i="1" s="1"/>
  <c r="Q76" i="1" s="1"/>
  <c r="Q57" i="1"/>
  <c r="Q68" i="1" s="1"/>
  <c r="Q77" i="1" s="1"/>
  <c r="I74" i="1"/>
  <c r="I75" i="1"/>
  <c r="Q52" i="1"/>
  <c r="I79" i="1"/>
  <c r="I78" i="1"/>
  <c r="I76" i="1"/>
  <c r="I77" i="1"/>
  <c r="I64" i="1"/>
  <c r="I63" i="1"/>
  <c r="I68" i="1"/>
  <c r="I67" i="1"/>
  <c r="I66" i="1"/>
  <c r="I65" i="1"/>
  <c r="P52" i="1"/>
  <c r="I57" i="1"/>
  <c r="I73" i="1"/>
  <c r="P63" i="1" l="1"/>
  <c r="T53" i="1"/>
  <c r="T54" i="1"/>
  <c r="T55" i="1"/>
  <c r="T56" i="1"/>
  <c r="T57" i="1"/>
  <c r="U53" i="1"/>
  <c r="Q63" i="1"/>
  <c r="U54" i="1"/>
  <c r="U56" i="1"/>
  <c r="U55" i="1"/>
  <c r="U52" i="1"/>
  <c r="U57" i="1"/>
  <c r="T52" i="1"/>
  <c r="I62" i="1"/>
  <c r="J22" i="1"/>
  <c r="O52" i="1" l="1"/>
  <c r="I51" i="1"/>
  <c r="I56" i="1"/>
  <c r="I55" i="1"/>
  <c r="I54" i="1"/>
  <c r="I53" i="1"/>
  <c r="I52" i="1"/>
  <c r="H29" i="1"/>
  <c r="S53" i="1" l="1"/>
  <c r="S54" i="1"/>
  <c r="S55" i="1"/>
  <c r="S56" i="1"/>
  <c r="S57" i="1"/>
  <c r="O63" i="1"/>
  <c r="S52" i="1"/>
  <c r="H30" i="1"/>
  <c r="H31" i="1" l="1"/>
  <c r="H32" i="1" l="1"/>
  <c r="E17" i="1"/>
  <c r="I38" i="1" s="1"/>
  <c r="D21" i="1" l="1"/>
  <c r="M20" i="1"/>
  <c r="K20" i="1"/>
  <c r="J21" i="1" l="1"/>
  <c r="N20" i="1"/>
  <c r="K24" i="1" l="1"/>
  <c r="Q72" i="1" l="1"/>
  <c r="O72" i="1"/>
  <c r="P72" i="1"/>
</calcChain>
</file>

<file path=xl/sharedStrings.xml><?xml version="1.0" encoding="utf-8"?>
<sst xmlns="http://schemas.openxmlformats.org/spreadsheetml/2006/main" count="154" uniqueCount="89">
  <si>
    <t>R132H-U251</t>
  </si>
  <si>
    <t>=</t>
  </si>
  <si>
    <t>µl</t>
  </si>
  <si>
    <t>mean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</si>
  <si>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</si>
  <si>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</si>
  <si>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</si>
  <si>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</si>
  <si>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</si>
  <si>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</si>
  <si>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</si>
  <si>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</si>
  <si>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</si>
  <si>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</si>
  <si>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</si>
  <si>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</si>
  <si>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</si>
  <si>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</si>
  <si>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</si>
  <si>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</si>
  <si>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</si>
  <si>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</si>
  <si>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</si>
  <si>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</si>
  <si>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</si>
  <si>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</si>
  <si>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</si>
  <si>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18F-AG120</t>
  </si>
  <si>
    <t>Barbara Wenzel</t>
  </si>
  <si>
    <t>BAY-1436032</t>
  </si>
  <si>
    <t>MW=489,53</t>
  </si>
  <si>
    <t>16.07.: 0,26 mg + 53 µl DMSO = 10-2 M</t>
  </si>
  <si>
    <t>10x stock</t>
  </si>
  <si>
    <t>Hycultec</t>
  </si>
  <si>
    <t>final concentration</t>
  </si>
  <si>
    <t xml:space="preserve"> Mio</t>
  </si>
  <si>
    <t>Mio</t>
  </si>
  <si>
    <t>AG-120</t>
  </si>
  <si>
    <t>stock</t>
  </si>
  <si>
    <t>transfer to Brandel</t>
  </si>
  <si>
    <t>BAY</t>
  </si>
  <si>
    <t>%TB</t>
  </si>
  <si>
    <t>+ 100</t>
  </si>
  <si>
    <t>Abs 570 nm</t>
  </si>
  <si>
    <t>µg/ml</t>
  </si>
  <si>
    <t>20 mM TRIS, pH 7.5, 150 mM NaCl, 10 mM MgCl2, 0.00045 % Tween 20, 0.2 mM DTT (aus frisch angesetzter 1 M DTT Lösung)</t>
  </si>
  <si>
    <t>µg protein  per incubation vial</t>
  </si>
  <si>
    <t>Total binding</t>
  </si>
  <si>
    <t>Specific binding (1 µM BAY = nonspecific binding)</t>
  </si>
  <si>
    <t>CPM, spec.</t>
  </si>
  <si>
    <t>specific</t>
  </si>
  <si>
    <t>-</t>
  </si>
  <si>
    <t>CPM spec/µg protein</t>
  </si>
  <si>
    <t>mol AG120/µg protein</t>
  </si>
  <si>
    <t>+ AG-120</t>
  </si>
  <si>
    <t>total</t>
  </si>
  <si>
    <t>filtration via GF-B (Hahnemühle, 2-layered, incubated in freshly prepared 0.3% PEI solution for the time of the incubation; used directly without prefiltration; change of washing solution in the system before! Placement of the GFB filter!) with water) and 3x washing</t>
  </si>
  <si>
    <t xml:space="preserve">Incubation </t>
  </si>
  <si>
    <t>Gesamt</t>
  </si>
  <si>
    <t>Überstand</t>
  </si>
  <si>
    <t>Sediment</t>
  </si>
  <si>
    <t>Total</t>
  </si>
  <si>
    <t>% Specific</t>
  </si>
  <si>
    <t>IDH buffer_komplett (+ Tween, + DTT )</t>
  </si>
  <si>
    <t>glas vials, shaker, 250 rpm, rt, 12:00-14:00</t>
  </si>
  <si>
    <t>washing solution: 50 mM TRIS-HCl, pH 7.4 at 4°C</t>
  </si>
  <si>
    <t>100 µl original + 12 ml IDH buffer_komplett</t>
  </si>
  <si>
    <t>MBq (12:00; Lab. 254)</t>
  </si>
  <si>
    <t>10 µl (= 63 kBq)</t>
  </si>
  <si>
    <t>2 µl + 1998 µl IDH-Puffer (ohne DTT)</t>
  </si>
  <si>
    <t>200+1800</t>
  </si>
  <si>
    <t>IDH-Puffer (ohne DTT)</t>
  </si>
  <si>
    <t>18F-AG120 working solution (=  12723100 CPM);IDH-Puffer_komplett</t>
  </si>
  <si>
    <t>Gesamt bzw. Überstand bzw Sediment working solution; IDH-Puffer_komplett</t>
  </si>
  <si>
    <t>10x competitor (10-5 - 10-9) resp. IDH-Puffer (ohne DTT) (TB)</t>
  </si>
  <si>
    <t>BCA_1 (whole cell lysate IDH1R132H; 1/10)</t>
  </si>
  <si>
    <t>Filtrations-Versuch 3.2.2026</t>
  </si>
  <si>
    <t>% of applied dose (12723100 CPM)</t>
  </si>
  <si>
    <t>Barbara Wenzel (email 4.2.)</t>
  </si>
  <si>
    <t>Lysate kombinieren, ca. 1.5 ml graue Kanüle -&gt; 1/10 BCA_1 = 10 mg protein/ml; 0.7 ml-&gt; 15.060 rpm, 25 min, 4°C  -&gt; Überstand (~ 0.7 ml) und Sediment; alles auf Eis bis zum Versuch</t>
  </si>
  <si>
    <t>*0.7 ml Gesamtlysat bzw. Überstand bzw. Sediment auffüllen mit 14 ml  IDH-Puffer (+ DTT) für Gesamt (G; -&gt; BCA = 0,609  mg/ml), Überstand (Ü; -&gt; BCA = 0,268 mg/ml) und Sediment (S; -&gt; BCA = 0,434 mg/ml) Ansätze</t>
  </si>
  <si>
    <t>IDH1R132H-U251</t>
  </si>
  <si>
    <t>BCA_G (Filtration Gesamt IDH1R132H)</t>
  </si>
  <si>
    <t>BCA_Ü (Filtration Überstand IDH1R132H)</t>
  </si>
  <si>
    <t>BCA_S (Filtration Sediment IDH1R132H)</t>
  </si>
  <si>
    <t>Transformation für Auswertung als Sättigungskurve</t>
  </si>
  <si>
    <t>korr. CPM spec/µg protein</t>
  </si>
  <si>
    <t>AG-120 gesamt (nM)</t>
  </si>
  <si>
    <t>korr.faktor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</si>
</sst>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E+00"/>
    <numFmt numFmtId="167" formatCode="0.000E+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ill="1" applyBorder="1"/>
    <xf numFmtId="166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Alignment="1">
      <alignment vertical="center"/>
    </xf>
    <xf numFmtId="1" fontId="1" fillId="0" borderId="0" xfId="0" applyNumberFormat="1" applyFont="1" applyFill="1"/>
    <xf numFmtId="165" fontId="0" fillId="0" borderId="0" xfId="0" applyNumberFormat="1" applyFill="1" applyAlignment="1">
      <alignment horizontal="right"/>
    </xf>
    <xf numFmtId="165" fontId="0" fillId="0" borderId="0" xfId="0" applyNumberFormat="1" applyFont="1" applyFill="1"/>
    <xf numFmtId="2" fontId="0" fillId="0" borderId="0" xfId="0" applyNumberFormat="1" applyFont="1" applyFill="1"/>
    <xf numFmtId="167" fontId="0" fillId="0" borderId="0" xfId="0" applyNumberFormat="1" applyFill="1"/>
    <xf numFmtId="11" fontId="1" fillId="0" borderId="0" xfId="0" applyNumberFormat="1" applyFont="1" applyFill="1"/>
    <xf numFmtId="167" fontId="1" fillId="0" borderId="0" xfId="0" applyNumberFormat="1" applyFont="1" applyFill="1"/>
    <xf numFmtId="0" fontId="4" fillId="0" borderId="0" xfId="0" applyFont="1" applyFill="1"/>
    <xf numFmtId="1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 applyAlignment="1">
      <alignment horizontal="center" vertical="center"/>
    </xf>
    <xf numFmtId="11" fontId="5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65" fontId="7" fillId="0" borderId="0" xfId="0" applyNumberFormat="1" applyFont="1" applyFill="1"/>
    <xf numFmtId="1" fontId="7" fillId="0" borderId="0" xfId="0" applyNumberFormat="1" applyFont="1" applyFill="1"/>
    <xf numFmtId="164" fontId="3" fillId="0" borderId="0" xfId="0" applyNumberFormat="1" applyFont="1"/>
    <xf numFmtId="1" fontId="7" fillId="0" borderId="0" xfId="0" applyNumberFormat="1" applyFont="1"/>
    <xf numFmtId="165" fontId="7" fillId="0" borderId="0" xfId="0" applyNumberFormat="1" applyFont="1" applyFill="1" applyBorder="1"/>
    <xf numFmtId="0" fontId="3" fillId="0" borderId="0" xfId="0" applyFont="1" applyAlignment="1">
      <alignment horizontal="right"/>
    </xf>
    <xf numFmtId="165" fontId="7" fillId="0" borderId="0" xfId="0" applyNumberFormat="1" applyFont="1"/>
    <xf numFmtId="1" fontId="3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1" fontId="0" fillId="0" borderId="0" xfId="0" quotePrefix="1" applyNumberFormat="1" applyFont="1" applyFill="1"/>
    <xf numFmtId="20" fontId="0" fillId="0" borderId="0" xfId="0" applyNumberFormat="1" applyFont="1" applyFill="1"/>
    <xf numFmtId="166" fontId="0" fillId="0" borderId="0" xfId="0" applyNumberFormat="1" applyFont="1" applyFill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" fontId="9" fillId="0" borderId="0" xfId="0" applyNumberFormat="1" applyFont="1"/>
    <xf numFmtId="165" fontId="3" fillId="0" borderId="0" xfId="0" applyNumberFormat="1" applyFont="1"/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457199</xdr:colOff>
      <xdr:row>70</xdr:row>
      <xdr:rowOff>142875</xdr:rowOff>
    </xdr:from>
    <xdr:to>
      <xdr:col>22</xdr:col>
      <xdr:colOff>0</xdr:colOff>
      <xdr:row>94</xdr:row>
      <xdr:rowOff>98658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407D38D-C8D2-57BC-8A6D-473455A87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87549" y="13477875"/>
          <a:ext cx="3409951" cy="4527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57"/>
  <sheetViews>
    <sheetView tabSelected="1" zoomScaleNormal="100" zoomScaleSheetLayoutView="55" workbookViewId="0"/>
  </sheetViews>
  <sheetFormatPr baseColWidth="10" defaultRowHeight="15" x14ac:dyDescent="0.25"/>
  <cols>
    <col min="1" max="1" width="21.5703125" style="13" bestFit="1" customWidth="1"/>
    <col min="2" max="2" width="11.42578125" style="13"/>
    <col min="3" max="3" width="12.85546875" style="13" bestFit="1" customWidth="1"/>
    <col min="4" max="4" width="13.28515625" style="13" bestFit="1" customWidth="1"/>
    <col min="5" max="5" width="13.5703125" style="13" bestFit="1" customWidth="1"/>
    <col min="6" max="6" width="14.85546875" style="13" bestFit="1" customWidth="1"/>
    <col min="7" max="7" width="11.5703125" style="13" bestFit="1" customWidth="1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16384" width="11.42578125" style="13"/>
  </cols>
  <sheetData>
    <row r="1" spans="1:44" x14ac:dyDescent="0.25">
      <c r="A1" s="12">
        <v>46056</v>
      </c>
      <c r="N1"/>
      <c r="Z1"/>
      <c r="AA1"/>
      <c r="AB1"/>
      <c r="AC1"/>
      <c r="AD1"/>
      <c r="AE1"/>
      <c r="AF1" s="17"/>
      <c r="AG1" s="17"/>
      <c r="AH1" s="17"/>
      <c r="AI1" s="17"/>
      <c r="AJ1" s="17"/>
      <c r="AK1" s="17"/>
      <c r="AL1" s="17"/>
      <c r="AM1" s="17"/>
      <c r="AN1" s="17"/>
    </row>
    <row r="2" spans="1:44" x14ac:dyDescent="0.25">
      <c r="L2" s="39"/>
      <c r="M2" s="39"/>
      <c r="N2"/>
      <c r="Z2"/>
      <c r="AA2"/>
      <c r="AB2"/>
      <c r="AC2"/>
      <c r="AD2"/>
      <c r="AE2" s="39"/>
      <c r="AF2" s="18"/>
      <c r="AG2" s="18"/>
      <c r="AH2" s="31"/>
      <c r="AI2" s="9"/>
      <c r="AJ2" s="17"/>
      <c r="AK2" s="17"/>
      <c r="AL2" s="17"/>
      <c r="AM2" s="17"/>
      <c r="AN2" s="17"/>
      <c r="AO2" s="18"/>
      <c r="AR2" s="18"/>
    </row>
    <row r="3" spans="1:44" x14ac:dyDescent="0.25">
      <c r="A3" s="14" t="s">
        <v>81</v>
      </c>
      <c r="B3" s="13">
        <v>40</v>
      </c>
      <c r="C3" s="13" t="s">
        <v>35</v>
      </c>
      <c r="D3" s="15">
        <v>45846</v>
      </c>
      <c r="E3" s="61"/>
      <c r="F3" s="13">
        <v>33</v>
      </c>
      <c r="G3" s="13" t="s">
        <v>35</v>
      </c>
      <c r="H3" s="15">
        <v>45849</v>
      </c>
      <c r="J3" s="13">
        <v>28</v>
      </c>
      <c r="K3" s="15">
        <v>45875</v>
      </c>
      <c r="L3" s="39"/>
      <c r="M3" s="39"/>
      <c r="N3"/>
      <c r="Z3"/>
      <c r="AA3"/>
      <c r="AB3"/>
      <c r="AC3"/>
      <c r="AD3"/>
      <c r="AE3" s="39"/>
      <c r="AF3" s="18"/>
      <c r="AG3" s="18"/>
      <c r="AH3" s="17"/>
      <c r="AI3" s="17"/>
      <c r="AJ3" s="17"/>
      <c r="AK3" s="17"/>
      <c r="AL3" s="17"/>
      <c r="AM3" s="17"/>
      <c r="AN3" s="17"/>
      <c r="AO3" s="18"/>
      <c r="AR3" s="18"/>
    </row>
    <row r="4" spans="1:44" x14ac:dyDescent="0.25">
      <c r="B4" s="13">
        <v>42</v>
      </c>
      <c r="C4" s="13" t="s">
        <v>36</v>
      </c>
      <c r="D4" s="15">
        <v>45890</v>
      </c>
      <c r="E4" s="61"/>
      <c r="F4" s="13">
        <v>30</v>
      </c>
      <c r="H4" s="15">
        <v>45882</v>
      </c>
      <c r="I4" s="16"/>
      <c r="L4" s="39"/>
      <c r="M4" s="39"/>
      <c r="N4"/>
      <c r="Z4"/>
      <c r="AA4"/>
      <c r="AB4"/>
      <c r="AC4"/>
      <c r="AD4"/>
      <c r="AE4" s="39"/>
      <c r="AF4" s="18"/>
      <c r="AG4" s="18"/>
      <c r="AH4" s="17"/>
      <c r="AI4" s="17"/>
      <c r="AJ4" s="17"/>
      <c r="AK4" s="17"/>
      <c r="AL4" s="17"/>
      <c r="AM4" s="17"/>
      <c r="AN4" s="17"/>
      <c r="AO4" s="18"/>
      <c r="AR4" s="18"/>
    </row>
    <row r="5" spans="1:44" x14ac:dyDescent="0.25">
      <c r="A5" s="22" t="s">
        <v>55</v>
      </c>
      <c r="B5" s="13">
        <f>SUM(B3:B4,F3:F4,J3)</f>
        <v>173</v>
      </c>
      <c r="C5" s="13" t="s">
        <v>36</v>
      </c>
      <c r="D5" s="15"/>
      <c r="E5" s="61"/>
      <c r="H5" s="16"/>
      <c r="I5" s="16"/>
      <c r="L5" s="39"/>
      <c r="M5" s="39"/>
      <c r="N5"/>
      <c r="Z5"/>
      <c r="AA5"/>
      <c r="AB5"/>
      <c r="AC5"/>
      <c r="AD5"/>
      <c r="AE5" s="39"/>
      <c r="AF5" s="18"/>
      <c r="AG5" s="18"/>
      <c r="AH5" s="31"/>
      <c r="AI5" s="9"/>
      <c r="AJ5" s="17"/>
      <c r="AK5" s="31"/>
      <c r="AL5" s="17"/>
      <c r="AM5" s="17"/>
      <c r="AN5" s="17"/>
      <c r="AO5" s="18"/>
      <c r="AR5" s="18"/>
    </row>
    <row r="6" spans="1:44" x14ac:dyDescent="0.25">
      <c r="B6" s="13" t="s">
        <v>79</v>
      </c>
      <c r="D6" s="15"/>
      <c r="E6" s="61"/>
      <c r="H6" s="16"/>
      <c r="J6" s="16"/>
      <c r="L6" s="39"/>
      <c r="M6" s="39"/>
      <c r="N6"/>
      <c r="Z6"/>
      <c r="AA6"/>
      <c r="AB6"/>
      <c r="AC6"/>
      <c r="AD6"/>
      <c r="AE6" s="39"/>
      <c r="AF6" s="18"/>
      <c r="AG6" s="18"/>
      <c r="AH6" s="18"/>
      <c r="AI6" s="18"/>
      <c r="AJ6" s="17"/>
      <c r="AK6" s="17"/>
      <c r="AL6" s="17"/>
      <c r="AM6" s="17"/>
      <c r="AO6" s="18"/>
      <c r="AR6" s="18"/>
    </row>
    <row r="7" spans="1:44" x14ac:dyDescent="0.25">
      <c r="A7" s="14"/>
      <c r="B7" s="16" t="s">
        <v>80</v>
      </c>
      <c r="D7" s="15"/>
      <c r="E7" s="61"/>
      <c r="I7" s="16"/>
      <c r="L7" s="39"/>
      <c r="M7" s="39"/>
      <c r="N7"/>
      <c r="Z7"/>
      <c r="AA7"/>
      <c r="AB7"/>
      <c r="AC7"/>
      <c r="AD7"/>
      <c r="AE7" s="39"/>
      <c r="AL7" s="18"/>
      <c r="AM7" s="18"/>
      <c r="AN7" s="18"/>
      <c r="AO7" s="18"/>
      <c r="AR7" s="18"/>
    </row>
    <row r="8" spans="1:44" x14ac:dyDescent="0.25">
      <c r="A8" s="14"/>
      <c r="J8" s="16"/>
      <c r="L8" s="39"/>
      <c r="M8" s="39"/>
      <c r="N8"/>
      <c r="Z8"/>
      <c r="AA8"/>
      <c r="AB8"/>
      <c r="AC8"/>
      <c r="AD8"/>
      <c r="AE8" s="39"/>
      <c r="AL8" s="18"/>
      <c r="AM8" s="18"/>
      <c r="AN8" s="18"/>
      <c r="AO8" s="18"/>
      <c r="AR8" s="18"/>
    </row>
    <row r="9" spans="1:44" x14ac:dyDescent="0.25">
      <c r="A9" s="14" t="s">
        <v>63</v>
      </c>
      <c r="D9" s="13" t="s">
        <v>45</v>
      </c>
      <c r="L9" s="39"/>
      <c r="M9" s="39"/>
      <c r="N9" s="40"/>
      <c r="O9" s="39"/>
      <c r="P9" s="41"/>
      <c r="Q9" s="69"/>
      <c r="R9" s="69"/>
      <c r="S9" s="65"/>
      <c r="T9" s="66"/>
      <c r="U9" s="68"/>
      <c r="V9" s="67"/>
      <c r="W9" s="18"/>
      <c r="Y9"/>
      <c r="Z9"/>
      <c r="AA9"/>
      <c r="AB9"/>
      <c r="AC9"/>
      <c r="AD9"/>
      <c r="AE9" s="39"/>
      <c r="AF9" s="17"/>
      <c r="AG9" s="17"/>
      <c r="AH9" s="9"/>
      <c r="AI9" s="9"/>
      <c r="AJ9" s="17"/>
      <c r="AK9" s="17"/>
      <c r="AL9" s="18"/>
      <c r="AM9" s="18"/>
      <c r="AN9" s="18"/>
      <c r="AO9" s="18"/>
      <c r="AR9" s="18"/>
    </row>
    <row r="10" spans="1:44" x14ac:dyDescent="0.25">
      <c r="A10" s="14"/>
      <c r="L10" s="39"/>
      <c r="M10" s="39"/>
      <c r="N10" s="40"/>
      <c r="O10" s="39"/>
      <c r="P10" s="41"/>
      <c r="Q10" s="69"/>
      <c r="R10" s="69"/>
      <c r="S10" s="65"/>
      <c r="T10" s="66"/>
      <c r="U10" s="68"/>
      <c r="V10" s="67"/>
      <c r="W10" s="18"/>
      <c r="Y10"/>
      <c r="Z10"/>
      <c r="AA10"/>
      <c r="AB10"/>
      <c r="AC10"/>
      <c r="AD10"/>
      <c r="AE10" s="39"/>
      <c r="AF10" s="36"/>
      <c r="AG10" s="34"/>
      <c r="AH10" s="9"/>
      <c r="AI10" s="9"/>
      <c r="AJ10" s="17"/>
      <c r="AK10" s="17"/>
      <c r="AL10" s="18"/>
      <c r="AM10" s="18"/>
      <c r="AO10" s="18"/>
      <c r="AR10" s="18"/>
    </row>
    <row r="11" spans="1:44" x14ac:dyDescent="0.25">
      <c r="R11"/>
      <c r="S11"/>
      <c r="T11"/>
      <c r="U11"/>
      <c r="V11"/>
      <c r="W11"/>
      <c r="X11"/>
      <c r="Y11"/>
      <c r="Z11"/>
      <c r="AA11"/>
      <c r="AB11"/>
      <c r="AC11"/>
      <c r="AD11"/>
      <c r="AE11" s="39"/>
      <c r="AF11" s="36"/>
      <c r="AG11" s="34"/>
      <c r="AH11" s="9"/>
      <c r="AI11" s="9"/>
      <c r="AJ11" s="17"/>
      <c r="AK11" s="17"/>
      <c r="AL11" s="18"/>
      <c r="AM11" s="18"/>
      <c r="AO11" s="18"/>
      <c r="AR11" s="18"/>
    </row>
    <row r="12" spans="1:44" x14ac:dyDescent="0.25">
      <c r="A12" s="14" t="s">
        <v>27</v>
      </c>
      <c r="B12" s="13" t="s">
        <v>23</v>
      </c>
      <c r="C12" s="13" t="s">
        <v>28</v>
      </c>
      <c r="I12" s="17" t="s">
        <v>9</v>
      </c>
      <c r="J12" s="17">
        <v>314</v>
      </c>
      <c r="K12" s="17" t="s">
        <v>10</v>
      </c>
      <c r="L12" s="78">
        <v>0.4777777777777778</v>
      </c>
      <c r="M12" s="17" t="s">
        <v>78</v>
      </c>
      <c r="N12" s="17"/>
      <c r="O12" s="17"/>
      <c r="R12"/>
      <c r="S12"/>
      <c r="T12"/>
      <c r="U12"/>
      <c r="V12"/>
      <c r="W12"/>
      <c r="X12"/>
      <c r="Y12"/>
      <c r="Z12"/>
      <c r="AA12"/>
      <c r="AB12"/>
      <c r="AC12"/>
      <c r="AD12"/>
      <c r="AE12" s="39"/>
      <c r="AF12" s="17"/>
      <c r="AG12" s="25"/>
      <c r="AH12" s="9"/>
      <c r="AI12" s="9"/>
      <c r="AJ12" s="17"/>
      <c r="AK12" s="17"/>
      <c r="AM12" s="18"/>
      <c r="AO12" s="18"/>
      <c r="AR12" s="18"/>
    </row>
    <row r="13" spans="1:44" x14ac:dyDescent="0.25">
      <c r="C13" s="19"/>
      <c r="D13" s="20"/>
      <c r="I13" s="18"/>
      <c r="J13" s="17">
        <v>256</v>
      </c>
      <c r="K13" s="17" t="s">
        <v>10</v>
      </c>
      <c r="L13" s="78">
        <v>0.5</v>
      </c>
      <c r="M13" s="17"/>
      <c r="N13" s="18"/>
      <c r="O13" s="18"/>
      <c r="R13"/>
      <c r="S13"/>
      <c r="T13"/>
      <c r="U13"/>
      <c r="V13"/>
      <c r="W13"/>
      <c r="X13"/>
      <c r="Y13"/>
      <c r="Z13"/>
      <c r="AA13"/>
      <c r="AB13"/>
      <c r="AC13"/>
      <c r="AD13"/>
      <c r="AE13" s="39"/>
      <c r="AF13" s="18"/>
      <c r="AG13" s="18"/>
      <c r="AH13" s="18"/>
      <c r="AI13" s="18"/>
    </row>
    <row r="14" spans="1:44" x14ac:dyDescent="0.25">
      <c r="B14" s="13" t="s">
        <v>24</v>
      </c>
      <c r="C14" s="19"/>
      <c r="D14" s="13" t="s">
        <v>66</v>
      </c>
      <c r="I14" s="18"/>
      <c r="J14" s="17">
        <f>+J13</f>
        <v>256</v>
      </c>
      <c r="K14" s="17" t="s">
        <v>19</v>
      </c>
      <c r="L14" s="78">
        <f>+L13</f>
        <v>0.5</v>
      </c>
      <c r="M14" s="17"/>
      <c r="N14" s="18"/>
      <c r="O14" s="18"/>
      <c r="R14"/>
      <c r="S14"/>
      <c r="T14"/>
      <c r="U14"/>
      <c r="V14"/>
      <c r="W14"/>
      <c r="X14"/>
      <c r="Y14"/>
      <c r="Z14"/>
      <c r="AA14"/>
      <c r="AB14"/>
      <c r="AC14"/>
      <c r="AD14"/>
      <c r="AE14" s="39"/>
      <c r="AF14" s="18"/>
      <c r="AG14" s="18"/>
      <c r="AH14" s="18"/>
      <c r="AI14" s="18"/>
    </row>
    <row r="15" spans="1:44" x14ac:dyDescent="0.25">
      <c r="D15" s="19" t="s">
        <v>1</v>
      </c>
      <c r="E15" s="20">
        <v>75.599999999999994</v>
      </c>
      <c r="F15" s="13" t="s">
        <v>67</v>
      </c>
      <c r="I15" s="18"/>
      <c r="J15" s="17"/>
      <c r="K15" s="17"/>
      <c r="L15" s="17"/>
      <c r="M15" s="18"/>
      <c r="N15" s="18"/>
      <c r="O15" s="18"/>
      <c r="R15"/>
      <c r="S15"/>
      <c r="T15"/>
      <c r="U15"/>
      <c r="V15" s="45"/>
      <c r="W15" s="45"/>
      <c r="X15" s="45"/>
      <c r="Y15"/>
      <c r="Z15"/>
      <c r="AA15"/>
      <c r="AB15"/>
      <c r="AC15"/>
      <c r="AD15"/>
      <c r="AE15" s="40"/>
      <c r="AF15" s="40"/>
      <c r="AG15" s="40"/>
      <c r="AH15" s="40"/>
      <c r="AI15" s="18"/>
    </row>
    <row r="16" spans="1:44" x14ac:dyDescent="0.25">
      <c r="D16" s="19" t="s">
        <v>1</v>
      </c>
      <c r="E16" s="54">
        <f>+E15/12</f>
        <v>6.3</v>
      </c>
      <c r="F16" s="17" t="s">
        <v>12</v>
      </c>
      <c r="J16" s="17"/>
      <c r="K16" s="17"/>
      <c r="L16" s="17"/>
      <c r="M16" s="17"/>
      <c r="N16" s="17"/>
      <c r="O16" s="17"/>
      <c r="R16"/>
      <c r="S16"/>
      <c r="T16"/>
      <c r="U16" s="22"/>
      <c r="Y16" s="27"/>
      <c r="Z16" s="10"/>
      <c r="AB16" s="46"/>
      <c r="AC16"/>
      <c r="AD16"/>
      <c r="AE16" s="84"/>
      <c r="AF16" s="40"/>
      <c r="AG16" s="40"/>
      <c r="AH16" s="40"/>
      <c r="AI16" s="18"/>
    </row>
    <row r="17" spans="1:35" x14ac:dyDescent="0.25">
      <c r="D17" s="19" t="s">
        <v>1</v>
      </c>
      <c r="E17" s="34">
        <f>+E16/J14*0.000001</f>
        <v>2.4609374999999999E-8</v>
      </c>
      <c r="F17" s="17" t="s">
        <v>11</v>
      </c>
      <c r="R17"/>
      <c r="S17"/>
      <c r="T17"/>
      <c r="U17" s="22"/>
      <c r="Y17" s="27"/>
      <c r="Z17" s="10"/>
      <c r="AA17" s="10"/>
      <c r="AB17" s="47"/>
      <c r="AC17"/>
      <c r="AD17"/>
      <c r="AE17" s="85"/>
      <c r="AF17" s="40"/>
      <c r="AG17" s="44"/>
      <c r="AH17" s="40"/>
      <c r="AI17" s="18"/>
    </row>
    <row r="18" spans="1:35" x14ac:dyDescent="0.25">
      <c r="R18"/>
      <c r="S18"/>
      <c r="T18"/>
      <c r="U18" s="22"/>
      <c r="Y18" s="27"/>
      <c r="Z18" s="10"/>
      <c r="AA18" s="10"/>
      <c r="AB18" s="47"/>
      <c r="AC18"/>
      <c r="AD18"/>
      <c r="AE18" s="85"/>
      <c r="AF18" s="40"/>
      <c r="AG18" s="40"/>
      <c r="AH18" s="40"/>
      <c r="AI18" s="18"/>
    </row>
    <row r="19" spans="1:35" x14ac:dyDescent="0.25">
      <c r="R19"/>
      <c r="S19" s="37"/>
      <c r="T19" s="48"/>
      <c r="U19" s="48"/>
      <c r="V19" s="37"/>
      <c r="W19" s="37"/>
      <c r="X19" s="49"/>
      <c r="Y19" s="27"/>
      <c r="Z19" s="10"/>
      <c r="AA19" s="50"/>
      <c r="AB19"/>
      <c r="AC19"/>
      <c r="AD19"/>
      <c r="AE19" s="40"/>
      <c r="AF19" s="40"/>
      <c r="AG19" s="40"/>
      <c r="AH19" s="40"/>
      <c r="AI19" s="18"/>
    </row>
    <row r="20" spans="1:35" x14ac:dyDescent="0.25">
      <c r="B20" s="13" t="s">
        <v>25</v>
      </c>
      <c r="C20" s="17" t="s">
        <v>68</v>
      </c>
      <c r="F20" s="13" t="s">
        <v>26</v>
      </c>
      <c r="H20" s="9">
        <v>1266419</v>
      </c>
      <c r="J20" s="13" t="s">
        <v>3</v>
      </c>
      <c r="K20" s="24">
        <f>AVERAGE(H20:H24)</f>
        <v>1272310.3333333333</v>
      </c>
      <c r="L20" s="13" t="s">
        <v>8</v>
      </c>
      <c r="M20" s="24">
        <f>STDEV(H20:H24)</f>
        <v>6417.6557506096678</v>
      </c>
      <c r="N20" s="10">
        <f>+M20*100/K20</f>
        <v>0.50440962259545707</v>
      </c>
      <c r="O20" s="13" t="s">
        <v>4</v>
      </c>
      <c r="R20" s="48"/>
      <c r="S20" s="48"/>
      <c r="T20" s="37"/>
      <c r="U20" s="37"/>
      <c r="V20" s="49"/>
      <c r="W20" s="27"/>
      <c r="X20" s="10"/>
      <c r="Y20"/>
      <c r="Z20"/>
      <c r="AA20"/>
      <c r="AB20"/>
      <c r="AC20" s="40"/>
      <c r="AE20" s="40"/>
      <c r="AF20" s="40"/>
      <c r="AG20" s="40"/>
      <c r="AH20" s="40"/>
      <c r="AI20" s="18"/>
    </row>
    <row r="21" spans="1:35" x14ac:dyDescent="0.25">
      <c r="C21" s="19" t="s">
        <v>1</v>
      </c>
      <c r="D21" s="34">
        <f>+E17/1000*0.01</f>
        <v>2.4609375000000001E-13</v>
      </c>
      <c r="E21" s="13" t="s">
        <v>21</v>
      </c>
      <c r="H21" s="10">
        <v>1271363</v>
      </c>
      <c r="J21" s="10">
        <f>+K20</f>
        <v>1272310.3333333333</v>
      </c>
      <c r="K21" s="13" t="s">
        <v>5</v>
      </c>
      <c r="R21" s="48"/>
      <c r="S21" s="48"/>
      <c r="T21" s="37"/>
      <c r="U21" s="37"/>
      <c r="V21" s="49"/>
      <c r="W21" s="27"/>
      <c r="X21" s="10"/>
      <c r="Y21"/>
      <c r="Z21"/>
      <c r="AA21"/>
      <c r="AB21"/>
      <c r="AC21" s="40"/>
      <c r="AE21" s="40"/>
      <c r="AF21" s="40"/>
      <c r="AG21" s="40"/>
      <c r="AH21" s="40"/>
      <c r="AI21" s="18"/>
    </row>
    <row r="22" spans="1:35" x14ac:dyDescent="0.25">
      <c r="H22" s="10">
        <v>1279149</v>
      </c>
      <c r="J22" s="17">
        <f>+E16/100</f>
        <v>6.3E-2</v>
      </c>
      <c r="K22" s="13" t="s">
        <v>20</v>
      </c>
      <c r="R22" s="48"/>
      <c r="S22" s="48"/>
      <c r="T22" s="37"/>
      <c r="U22" s="37"/>
      <c r="V22" s="49"/>
      <c r="W22" s="27"/>
      <c r="X22" s="10"/>
      <c r="Y22"/>
      <c r="Z22"/>
      <c r="AA22"/>
      <c r="AB22"/>
      <c r="AC22" s="40"/>
      <c r="AE22" s="40"/>
      <c r="AF22" s="40"/>
      <c r="AG22" s="40"/>
      <c r="AH22" s="40"/>
      <c r="AI22" s="18"/>
    </row>
    <row r="23" spans="1:35" x14ac:dyDescent="0.25">
      <c r="H23" s="10"/>
      <c r="R23" s="48"/>
      <c r="S23" s="22"/>
      <c r="T23" s="37"/>
      <c r="U23" s="37"/>
      <c r="V23" s="49"/>
      <c r="W23" s="27"/>
      <c r="X23" s="10"/>
      <c r="Y23"/>
      <c r="Z23"/>
      <c r="AA23"/>
      <c r="AB23"/>
      <c r="AC23" s="40"/>
      <c r="AE23" s="40"/>
      <c r="AF23" s="40"/>
      <c r="AG23" s="40"/>
      <c r="AH23" s="40"/>
      <c r="AI23" s="18"/>
    </row>
    <row r="24" spans="1:35" x14ac:dyDescent="0.25">
      <c r="H24" s="10"/>
      <c r="J24" s="19" t="s">
        <v>1</v>
      </c>
      <c r="K24" s="10">
        <f>+J21/J22</f>
        <v>20195402.116402116</v>
      </c>
      <c r="L24" s="13" t="s">
        <v>6</v>
      </c>
      <c r="R24" s="48"/>
      <c r="S24" s="22"/>
      <c r="T24" s="37"/>
      <c r="U24" s="37"/>
      <c r="V24" s="49"/>
      <c r="W24" s="27"/>
      <c r="X24" s="10"/>
      <c r="Y24"/>
      <c r="Z24"/>
      <c r="AA24"/>
      <c r="AB24"/>
      <c r="AC24" s="40"/>
      <c r="AE24" s="40"/>
      <c r="AF24" s="40"/>
      <c r="AG24" s="40"/>
      <c r="AH24" s="40"/>
      <c r="AI24" s="18"/>
    </row>
    <row r="25" spans="1:35" x14ac:dyDescent="0.25">
      <c r="H25" s="10"/>
      <c r="J25" s="19" t="s">
        <v>1</v>
      </c>
      <c r="K25" s="34">
        <f>+D21/J21</f>
        <v>1.9342273936835644E-19</v>
      </c>
      <c r="L25" s="13" t="s">
        <v>22</v>
      </c>
      <c r="R25" s="48"/>
      <c r="S25" s="22"/>
      <c r="T25" s="37"/>
      <c r="U25" s="37"/>
      <c r="V25" s="49"/>
      <c r="W25" s="27"/>
      <c r="X25" s="10"/>
      <c r="Y25"/>
      <c r="Z25"/>
      <c r="AA25"/>
      <c r="AB25"/>
      <c r="AC25" s="40"/>
      <c r="AE25" s="40"/>
      <c r="AF25" s="40"/>
      <c r="AG25" s="40"/>
      <c r="AH25" s="40"/>
      <c r="AI25" s="18"/>
    </row>
    <row r="26" spans="1:35" x14ac:dyDescent="0.25">
      <c r="R26" s="48"/>
      <c r="S26" s="48"/>
      <c r="T26" s="37"/>
      <c r="U26" s="37"/>
      <c r="V26" s="49"/>
      <c r="W26" s="27"/>
      <c r="X26" s="10"/>
      <c r="Y26"/>
      <c r="Z26"/>
      <c r="AA26"/>
      <c r="AB26"/>
      <c r="AC26" s="40"/>
      <c r="AE26" s="40"/>
      <c r="AF26" s="40"/>
      <c r="AG26" s="42"/>
      <c r="AH26" s="43"/>
      <c r="AI26" s="39"/>
    </row>
    <row r="27" spans="1:35" x14ac:dyDescent="0.25">
      <c r="R27" s="48"/>
      <c r="S27" s="48"/>
      <c r="T27" s="37"/>
      <c r="U27" s="37"/>
      <c r="V27" s="49"/>
      <c r="W27" s="27"/>
      <c r="X27" s="10"/>
      <c r="Y27"/>
      <c r="Z27"/>
      <c r="AA27"/>
      <c r="AB27"/>
      <c r="AC27" s="40"/>
      <c r="AE27" s="40"/>
      <c r="AF27" s="40"/>
      <c r="AG27" s="42"/>
      <c r="AH27" s="43"/>
      <c r="AI27" s="39"/>
    </row>
    <row r="28" spans="1:35" x14ac:dyDescent="0.25">
      <c r="A28" s="14" t="s">
        <v>29</v>
      </c>
      <c r="B28" s="17" t="s">
        <v>33</v>
      </c>
      <c r="C28" s="17" t="s">
        <v>31</v>
      </c>
      <c r="D28" s="17"/>
      <c r="E28" s="17"/>
      <c r="F28" s="17"/>
      <c r="G28" s="17" t="s">
        <v>32</v>
      </c>
      <c r="H28" s="34">
        <v>0.01</v>
      </c>
      <c r="I28" s="17" t="s">
        <v>69</v>
      </c>
      <c r="J28" s="9"/>
      <c r="L28" s="34">
        <f>+H28*2/2000</f>
        <v>1.0000000000000001E-5</v>
      </c>
      <c r="M28"/>
      <c r="N28"/>
      <c r="P28" s="73" t="s">
        <v>76</v>
      </c>
      <c r="Q28" s="45" t="s">
        <v>43</v>
      </c>
      <c r="R28" s="45"/>
      <c r="S28"/>
      <c r="T28" s="74" t="s">
        <v>3</v>
      </c>
      <c r="U28" s="74" t="s">
        <v>44</v>
      </c>
      <c r="V28"/>
      <c r="X28"/>
      <c r="Y28"/>
      <c r="Z28"/>
      <c r="AA28"/>
      <c r="AB28"/>
      <c r="AC28" s="40"/>
      <c r="AE28" s="40"/>
      <c r="AF28" s="40"/>
      <c r="AG28" s="42"/>
      <c r="AH28" s="43"/>
      <c r="AI28" s="39"/>
    </row>
    <row r="29" spans="1:35" x14ac:dyDescent="0.25">
      <c r="A29" s="18"/>
      <c r="B29" s="17" t="s">
        <v>30</v>
      </c>
      <c r="C29" s="17"/>
      <c r="D29" s="17"/>
      <c r="E29" s="17"/>
      <c r="F29" s="17"/>
      <c r="G29" s="17"/>
      <c r="H29" s="34">
        <f>+L28</f>
        <v>1.0000000000000001E-5</v>
      </c>
      <c r="I29" s="31" t="s">
        <v>70</v>
      </c>
      <c r="J29" s="9" t="s">
        <v>71</v>
      </c>
      <c r="L29" s="34">
        <f>+L28*200/2000</f>
        <v>9.9999999999999995E-7</v>
      </c>
      <c r="M29"/>
      <c r="N29" s="73"/>
      <c r="P29" s="73" t="s">
        <v>75</v>
      </c>
      <c r="Q29" s="75">
        <v>0.88</v>
      </c>
      <c r="R29" s="75">
        <v>0.90500000000000003</v>
      </c>
      <c r="S29" s="74"/>
      <c r="T29" s="75">
        <f>AVERAGE(Q29:S29)</f>
        <v>0.89250000000000007</v>
      </c>
      <c r="U29" s="82">
        <f>+(T29- 0.126812939984356)/ 0.000756466970063287</f>
        <v>1012.1883576114178</v>
      </c>
      <c r="X29"/>
      <c r="Y29"/>
      <c r="Z29"/>
      <c r="AA29"/>
      <c r="AB29"/>
      <c r="AC29" s="40"/>
      <c r="AE29" s="40"/>
      <c r="AF29" s="40"/>
      <c r="AG29" s="42"/>
      <c r="AH29" s="43"/>
      <c r="AI29" s="39"/>
    </row>
    <row r="30" spans="1:35" x14ac:dyDescent="0.25">
      <c r="A30" s="14" t="s">
        <v>37</v>
      </c>
      <c r="B30" s="62">
        <v>0.01</v>
      </c>
      <c r="C30" s="63" t="s">
        <v>11</v>
      </c>
      <c r="D30" s="63" t="s">
        <v>38</v>
      </c>
      <c r="E30" s="17"/>
      <c r="F30" s="17"/>
      <c r="G30" s="17"/>
      <c r="H30" s="34">
        <f>+L29</f>
        <v>9.9999999999999995E-7</v>
      </c>
      <c r="I30" s="31" t="s">
        <v>70</v>
      </c>
      <c r="J30" s="9" t="s">
        <v>71</v>
      </c>
      <c r="L30" s="34">
        <f t="shared" ref="L30:L32" si="0">+L29*200/2000</f>
        <v>9.9999999999999995E-8</v>
      </c>
      <c r="M30"/>
      <c r="N30"/>
      <c r="P30" s="73" t="s">
        <v>82</v>
      </c>
      <c r="Q30" s="75">
        <v>0.58299999999999996</v>
      </c>
      <c r="R30" s="75">
        <v>0.59199999999999997</v>
      </c>
      <c r="S30" s="71"/>
      <c r="T30" s="75">
        <f>AVERAGE(Q30:S30)</f>
        <v>0.58749999999999991</v>
      </c>
      <c r="U30" s="76">
        <f t="shared" ref="U30:U32" si="1">+(T30- 0.126812939984356)/ 0.000756466970063287</f>
        <v>608.99824876306525</v>
      </c>
      <c r="X30" s="40"/>
      <c r="Y30" s="42"/>
      <c r="Z30" s="43"/>
      <c r="AA30" s="40"/>
      <c r="AB30" s="41"/>
      <c r="AC30" s="40"/>
      <c r="AE30" s="40"/>
      <c r="AF30" s="40"/>
      <c r="AG30" s="42"/>
      <c r="AH30" s="43"/>
      <c r="AI30" s="39"/>
    </row>
    <row r="31" spans="1:35" x14ac:dyDescent="0.25">
      <c r="E31" s="18"/>
      <c r="F31" s="18"/>
      <c r="G31" s="18"/>
      <c r="H31" s="34">
        <f>+L30</f>
        <v>9.9999999999999995E-8</v>
      </c>
      <c r="I31" s="31" t="s">
        <v>70</v>
      </c>
      <c r="J31" s="9" t="s">
        <v>71</v>
      </c>
      <c r="L31" s="34">
        <f t="shared" si="0"/>
        <v>9.9999999999999986E-9</v>
      </c>
      <c r="M31"/>
      <c r="N31"/>
      <c r="P31" s="73" t="s">
        <v>83</v>
      </c>
      <c r="Q31" s="75">
        <v>0.32600000000000001</v>
      </c>
      <c r="R31" s="75">
        <v>0.33300000000000002</v>
      </c>
      <c r="S31" s="71"/>
      <c r="T31" s="75">
        <f>AVERAGE(Q31:S31)</f>
        <v>0.32950000000000002</v>
      </c>
      <c r="U31" s="76">
        <f t="shared" si="1"/>
        <v>267.9390747208526</v>
      </c>
      <c r="X31" s="40"/>
      <c r="Y31" s="42"/>
      <c r="Z31" s="43"/>
      <c r="AA31" s="40"/>
      <c r="AB31" s="41"/>
      <c r="AC31" s="40"/>
      <c r="AE31" s="40"/>
      <c r="AF31" s="40"/>
      <c r="AG31" s="42"/>
      <c r="AH31" s="43"/>
      <c r="AI31" s="39"/>
    </row>
    <row r="32" spans="1:35" x14ac:dyDescent="0.25">
      <c r="H32" s="34">
        <f>+L31</f>
        <v>9.9999999999999986E-9</v>
      </c>
      <c r="I32" s="31" t="s">
        <v>70</v>
      </c>
      <c r="J32" s="9" t="s">
        <v>71</v>
      </c>
      <c r="L32" s="34">
        <f t="shared" si="0"/>
        <v>9.9999999999999986E-10</v>
      </c>
      <c r="M32"/>
      <c r="N32"/>
      <c r="P32" s="73" t="s">
        <v>84</v>
      </c>
      <c r="Q32" s="75">
        <v>0.45600000000000002</v>
      </c>
      <c r="R32" s="75">
        <v>0.45400000000000001</v>
      </c>
      <c r="S32" s="83"/>
      <c r="T32" s="75">
        <f>AVERAGE(Q32:S32)</f>
        <v>0.45500000000000002</v>
      </c>
      <c r="U32" s="76">
        <f t="shared" si="1"/>
        <v>433.84189000107631</v>
      </c>
      <c r="X32" s="40"/>
      <c r="Y32" s="42"/>
      <c r="Z32" s="43"/>
      <c r="AA32" s="40"/>
      <c r="AB32" s="41"/>
      <c r="AC32" s="40"/>
      <c r="AE32" s="40"/>
      <c r="AF32" s="40"/>
      <c r="AG32" s="42"/>
      <c r="AH32" s="43"/>
      <c r="AI32" s="39"/>
    </row>
    <row r="33" spans="1:35" x14ac:dyDescent="0.25">
      <c r="E33" s="25"/>
      <c r="H33" s="34"/>
      <c r="I33" s="31"/>
      <c r="J33" s="9"/>
      <c r="L33" s="34"/>
      <c r="N33" s="39"/>
      <c r="V33" s="72"/>
      <c r="W33" s="40"/>
      <c r="X33" s="40"/>
      <c r="Y33" s="42"/>
      <c r="Z33" s="43"/>
      <c r="AA33" s="40"/>
      <c r="AB33" s="41"/>
      <c r="AC33" s="40"/>
      <c r="AE33" s="40"/>
      <c r="AF33" s="40"/>
      <c r="AG33" s="42"/>
      <c r="AH33" s="43"/>
      <c r="AI33" s="39"/>
    </row>
    <row r="34" spans="1:35" x14ac:dyDescent="0.25">
      <c r="A34" s="14"/>
      <c r="B34" s="11"/>
      <c r="N34" s="39"/>
      <c r="O34" s="39"/>
      <c r="P34" s="39"/>
      <c r="Q34" s="70"/>
      <c r="R34" s="71"/>
      <c r="S34" s="71"/>
      <c r="T34" s="71"/>
      <c r="U34" s="68"/>
      <c r="V34" s="72"/>
      <c r="W34" s="40"/>
      <c r="X34" s="40"/>
      <c r="Y34" s="40"/>
      <c r="Z34" s="42"/>
      <c r="AA34" s="43"/>
      <c r="AB34" s="40"/>
      <c r="AC34" s="41"/>
      <c r="AD34" s="40"/>
      <c r="AE34" s="40"/>
      <c r="AF34" s="40"/>
      <c r="AG34" s="42"/>
      <c r="AH34" s="43"/>
      <c r="AI34" s="39"/>
    </row>
    <row r="35" spans="1:35" x14ac:dyDescent="0.25">
      <c r="L35" s="18"/>
      <c r="N35" s="39"/>
      <c r="O35" s="39"/>
      <c r="P35" s="39"/>
      <c r="Q35" s="70"/>
      <c r="R35" s="71"/>
      <c r="S35" s="71"/>
      <c r="T35" s="71"/>
      <c r="U35" s="68"/>
      <c r="V35" s="72"/>
      <c r="W35" s="40"/>
      <c r="X35" s="40"/>
      <c r="Y35" s="40"/>
      <c r="Z35" s="42"/>
      <c r="AA35" s="43"/>
      <c r="AB35" s="40"/>
      <c r="AC35" s="41"/>
      <c r="AD35" s="40"/>
      <c r="AE35" s="40"/>
      <c r="AF35" s="40"/>
      <c r="AG35" s="42"/>
      <c r="AH35" s="43"/>
      <c r="AI35" s="39"/>
    </row>
    <row r="36" spans="1:35" x14ac:dyDescent="0.25">
      <c r="S36" s="40"/>
      <c r="T36" s="40"/>
      <c r="U36" s="40"/>
      <c r="V36" s="41"/>
      <c r="W36" s="40"/>
      <c r="X36" s="40"/>
      <c r="Y36" s="40"/>
      <c r="Z36" s="42"/>
      <c r="AA36" s="43"/>
      <c r="AB36" s="40"/>
      <c r="AC36" s="41"/>
      <c r="AD36" s="40"/>
      <c r="AE36" s="40"/>
      <c r="AF36" s="40"/>
      <c r="AG36" s="42"/>
      <c r="AH36" s="43"/>
      <c r="AI36" s="39"/>
    </row>
    <row r="37" spans="1:35" x14ac:dyDescent="0.25">
      <c r="A37" s="14" t="s">
        <v>57</v>
      </c>
      <c r="B37" s="13">
        <v>800</v>
      </c>
      <c r="C37" s="13" t="s">
        <v>2</v>
      </c>
      <c r="D37" s="17" t="s">
        <v>73</v>
      </c>
      <c r="K37" s="13" t="s">
        <v>34</v>
      </c>
      <c r="M37" s="13" t="s">
        <v>58</v>
      </c>
      <c r="N37" s="9">
        <f>+U30*0.8</f>
        <v>487.1985990104522</v>
      </c>
      <c r="O37" s="13" t="s">
        <v>46</v>
      </c>
      <c r="S37" s="40"/>
      <c r="T37" s="40"/>
      <c r="U37" s="40"/>
      <c r="V37" s="41"/>
      <c r="W37" s="40"/>
      <c r="X37" s="40"/>
      <c r="Y37" s="40"/>
      <c r="Z37" s="42"/>
      <c r="AA37" s="43"/>
      <c r="AB37" s="40"/>
      <c r="AC37" s="41"/>
      <c r="AD37" s="40"/>
      <c r="AE37" s="40"/>
      <c r="AF37" s="40"/>
      <c r="AG37" s="42"/>
      <c r="AH37" s="43"/>
      <c r="AI37" s="39"/>
    </row>
    <row r="38" spans="1:35" x14ac:dyDescent="0.25">
      <c r="B38" s="19" t="s">
        <v>42</v>
      </c>
      <c r="C38" s="13" t="s">
        <v>2</v>
      </c>
      <c r="D38" s="13" t="s">
        <v>72</v>
      </c>
      <c r="I38" s="34">
        <f>100*E17/1000</f>
        <v>2.4609375E-9</v>
      </c>
      <c r="J38" s="10" t="s">
        <v>11</v>
      </c>
      <c r="M38" s="13" t="s">
        <v>59</v>
      </c>
      <c r="N38" s="9">
        <f t="shared" ref="N38:N39" si="2">+U31*0.8</f>
        <v>214.3512597766821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18"/>
    </row>
    <row r="39" spans="1:35" x14ac:dyDescent="0.25">
      <c r="B39" s="19" t="s">
        <v>42</v>
      </c>
      <c r="C39" s="13" t="s">
        <v>2</v>
      </c>
      <c r="D39" s="13" t="s">
        <v>74</v>
      </c>
      <c r="I39" s="10"/>
      <c r="M39" s="13" t="s">
        <v>60</v>
      </c>
      <c r="N39" s="9">
        <f t="shared" si="2"/>
        <v>347.07351200086106</v>
      </c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18"/>
    </row>
    <row r="40" spans="1:35" x14ac:dyDescent="0.25"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5" x14ac:dyDescent="0.25">
      <c r="B41" s="13" t="s">
        <v>64</v>
      </c>
      <c r="N41" s="2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5" x14ac:dyDescent="0.25">
      <c r="S42"/>
      <c r="T42"/>
      <c r="U42"/>
      <c r="AC42"/>
      <c r="AD42"/>
      <c r="AE42"/>
      <c r="AF42"/>
    </row>
    <row r="43" spans="1:35" x14ac:dyDescent="0.25">
      <c r="B43" s="13" t="s">
        <v>39</v>
      </c>
      <c r="S43"/>
      <c r="T43"/>
      <c r="U43"/>
      <c r="AC43"/>
      <c r="AD43"/>
      <c r="AE43"/>
      <c r="AF43"/>
    </row>
    <row r="44" spans="1:35" x14ac:dyDescent="0.25">
      <c r="B44" s="13" t="s">
        <v>56</v>
      </c>
      <c r="S44"/>
      <c r="T44"/>
      <c r="U44"/>
      <c r="AC44"/>
      <c r="AD44"/>
      <c r="AE44"/>
      <c r="AF44"/>
    </row>
    <row r="45" spans="1:35" x14ac:dyDescent="0.25">
      <c r="C45" s="64"/>
      <c r="S45"/>
      <c r="T45"/>
      <c r="U45"/>
      <c r="AC45"/>
      <c r="AD45"/>
      <c r="AE45"/>
      <c r="AF45"/>
    </row>
    <row r="46" spans="1:35" x14ac:dyDescent="0.25">
      <c r="B46" s="13" t="s">
        <v>65</v>
      </c>
      <c r="F46" s="22"/>
      <c r="S46"/>
      <c r="T46"/>
      <c r="U46"/>
      <c r="AC46"/>
      <c r="AD46"/>
      <c r="AE46"/>
      <c r="AF46"/>
    </row>
    <row r="47" spans="1:35" x14ac:dyDescent="0.25">
      <c r="S47"/>
      <c r="T47"/>
      <c r="U47"/>
      <c r="AC47"/>
      <c r="AD47"/>
      <c r="AE47"/>
      <c r="AF47"/>
    </row>
    <row r="48" spans="1:35" x14ac:dyDescent="0.25">
      <c r="B48" s="13" t="s">
        <v>47</v>
      </c>
      <c r="M48" s="13" t="s">
        <v>48</v>
      </c>
      <c r="S48"/>
      <c r="U48"/>
      <c r="AC48"/>
      <c r="AD48"/>
      <c r="AE48"/>
      <c r="AF48"/>
    </row>
    <row r="49" spans="1:43" x14ac:dyDescent="0.25">
      <c r="E49" s="13" t="s">
        <v>5</v>
      </c>
      <c r="H49" s="13" t="s">
        <v>3</v>
      </c>
      <c r="I49" s="13" t="s">
        <v>41</v>
      </c>
      <c r="J49" s="13" t="s">
        <v>77</v>
      </c>
      <c r="S49"/>
      <c r="T49"/>
      <c r="U49"/>
      <c r="AC49"/>
      <c r="AD49"/>
      <c r="AE49"/>
      <c r="AF49"/>
    </row>
    <row r="50" spans="1:43" x14ac:dyDescent="0.25">
      <c r="A50" s="13" t="s">
        <v>81</v>
      </c>
      <c r="B50" s="13" t="s">
        <v>58</v>
      </c>
      <c r="M50" s="13" t="s">
        <v>49</v>
      </c>
      <c r="S50" s="13" t="s">
        <v>62</v>
      </c>
    </row>
    <row r="51" spans="1:43" x14ac:dyDescent="0.25">
      <c r="C51" s="27" t="s">
        <v>7</v>
      </c>
      <c r="E51" s="10">
        <v>412101</v>
      </c>
      <c r="F51" s="10"/>
      <c r="G51" s="10"/>
      <c r="H51" s="10">
        <f>AVERAGE(E51:G51)</f>
        <v>412101</v>
      </c>
      <c r="I51" s="9">
        <f t="shared" ref="I51:I57" si="3">+H51*100/$H$51</f>
        <v>100</v>
      </c>
      <c r="J51" s="28">
        <f>+H51*100/12723100</f>
        <v>3.2389983573185779</v>
      </c>
      <c r="O51" s="13" t="s">
        <v>58</v>
      </c>
      <c r="P51" s="13" t="s">
        <v>59</v>
      </c>
      <c r="Q51" s="13" t="s">
        <v>60</v>
      </c>
      <c r="S51" s="13" t="s">
        <v>58</v>
      </c>
      <c r="T51" s="13" t="s">
        <v>59</v>
      </c>
      <c r="U51" s="13" t="s">
        <v>60</v>
      </c>
    </row>
    <row r="52" spans="1:43" x14ac:dyDescent="0.25">
      <c r="C52" s="27" t="s">
        <v>40</v>
      </c>
      <c r="D52" s="11">
        <v>9.9999999999999995E-7</v>
      </c>
      <c r="E52" s="10">
        <v>109997.51</v>
      </c>
      <c r="F52" s="10">
        <v>111103.07</v>
      </c>
      <c r="G52" s="10">
        <v>129567.7</v>
      </c>
      <c r="H52" s="10">
        <f t="shared" ref="H52:H57" si="4">AVERAGE(E52:G52)</f>
        <v>116889.42666666668</v>
      </c>
      <c r="I52" s="9">
        <f t="shared" si="3"/>
        <v>28.364266688667747</v>
      </c>
      <c r="J52" s="28">
        <f t="shared" ref="J52:J57" si="5">+H52*100/12723100</f>
        <v>0.91871813211140896</v>
      </c>
      <c r="M52" s="13" t="s">
        <v>50</v>
      </c>
      <c r="N52" s="16" t="s">
        <v>61</v>
      </c>
      <c r="O52" s="10">
        <f>+H51-$H$52</f>
        <v>295211.5733333333</v>
      </c>
      <c r="P52" s="10">
        <f>+H62-$H$63</f>
        <v>117993.24000000002</v>
      </c>
      <c r="Q52" s="10">
        <f>+H73-$H$74</f>
        <v>354138.6</v>
      </c>
      <c r="R52" s="10"/>
      <c r="S52" s="28">
        <f>+O52*100/$O$52</f>
        <v>100</v>
      </c>
      <c r="T52" s="28">
        <f>+P52*100/$P$52</f>
        <v>100</v>
      </c>
      <c r="U52" s="28">
        <f>+Q52*100/$Q$52</f>
        <v>100</v>
      </c>
    </row>
    <row r="53" spans="1:43" x14ac:dyDescent="0.25">
      <c r="C53" s="27" t="s">
        <v>37</v>
      </c>
      <c r="D53" s="11">
        <v>9.9999999999999995E-7</v>
      </c>
      <c r="E53" s="9">
        <v>117805.71</v>
      </c>
      <c r="F53" s="9">
        <v>135423.03</v>
      </c>
      <c r="H53" s="10">
        <f t="shared" si="4"/>
        <v>126614.37</v>
      </c>
      <c r="I53" s="9">
        <f t="shared" si="3"/>
        <v>30.724111322224406</v>
      </c>
      <c r="J53" s="28">
        <f t="shared" si="5"/>
        <v>0.99515346102757973</v>
      </c>
      <c r="M53" s="16" t="s">
        <v>54</v>
      </c>
      <c r="N53" s="11">
        <v>9.9999999999999995E-7</v>
      </c>
      <c r="O53" s="10">
        <f>+H53-$H$52</f>
        <v>9724.9433333333145</v>
      </c>
      <c r="P53" s="10">
        <f>+H64-$H$63</f>
        <v>19004.770000000004</v>
      </c>
      <c r="Q53" s="10">
        <f>+H75-$H$74</f>
        <v>-3174.5083333333314</v>
      </c>
      <c r="R53" s="10"/>
      <c r="S53" s="28">
        <f t="shared" ref="S53:S57" si="6">+O53*100/$O$52</f>
        <v>3.2942283473258529</v>
      </c>
      <c r="T53" s="28">
        <f t="shared" ref="T53:T57" si="7">+P53*100/$P$52</f>
        <v>16.106660008658125</v>
      </c>
      <c r="U53" s="28">
        <f t="shared" ref="U53:U57" si="8">+Q53*100/$Q$52</f>
        <v>-0.89640280199146083</v>
      </c>
      <c r="V53" s="11"/>
    </row>
    <row r="54" spans="1:43" x14ac:dyDescent="0.25">
      <c r="C54" s="27"/>
      <c r="D54" s="11">
        <v>9.9999999999999995E-8</v>
      </c>
      <c r="E54" s="9">
        <v>153566.57</v>
      </c>
      <c r="F54" s="9">
        <v>138701.44</v>
      </c>
      <c r="H54" s="10">
        <f t="shared" si="4"/>
        <v>146134.005</v>
      </c>
      <c r="I54" s="9">
        <f t="shared" si="3"/>
        <v>35.460725647353442</v>
      </c>
      <c r="J54" s="28">
        <f t="shared" si="5"/>
        <v>1.1485723212110257</v>
      </c>
      <c r="N54" s="11">
        <v>9.9999999999999995E-8</v>
      </c>
      <c r="O54" s="10">
        <f t="shared" ref="O54:O57" si="9">+H54-$H$52</f>
        <v>29244.578333333324</v>
      </c>
      <c r="P54" s="10">
        <f t="shared" ref="P54:P57" si="10">+H65-$H$63</f>
        <v>25901.300000000003</v>
      </c>
      <c r="Q54" s="10">
        <f t="shared" ref="Q54:Q57" si="11">+H76-$H$74</f>
        <v>6988.4566666666651</v>
      </c>
      <c r="R54" s="10"/>
      <c r="S54" s="28">
        <f t="shared" si="6"/>
        <v>9.906311599888495</v>
      </c>
      <c r="T54" s="28">
        <f t="shared" si="7"/>
        <v>21.951511798472524</v>
      </c>
      <c r="U54" s="28">
        <f t="shared" si="8"/>
        <v>1.9733676777020821</v>
      </c>
      <c r="V54" s="11"/>
    </row>
    <row r="55" spans="1:43" x14ac:dyDescent="0.25">
      <c r="C55" s="27"/>
      <c r="D55" s="11">
        <v>1E-8</v>
      </c>
      <c r="E55" s="9">
        <v>251810.51</v>
      </c>
      <c r="F55" s="9">
        <v>255941.76000000001</v>
      </c>
      <c r="H55" s="10">
        <f t="shared" si="4"/>
        <v>253876.13500000001</v>
      </c>
      <c r="I55" s="9">
        <f t="shared" si="3"/>
        <v>61.60531884174025</v>
      </c>
      <c r="J55" s="28">
        <f t="shared" si="5"/>
        <v>1.9953952653048392</v>
      </c>
      <c r="N55" s="11">
        <v>1E-8</v>
      </c>
      <c r="O55" s="10">
        <f t="shared" si="9"/>
        <v>136986.70833333331</v>
      </c>
      <c r="P55" s="10">
        <f t="shared" si="10"/>
        <v>68781.554999999993</v>
      </c>
      <c r="Q55" s="10">
        <f t="shared" si="11"/>
        <v>122565.05666666664</v>
      </c>
      <c r="R55" s="10"/>
      <c r="S55" s="28">
        <f t="shared" si="6"/>
        <v>46.402892266915643</v>
      </c>
      <c r="T55" s="28">
        <f t="shared" si="7"/>
        <v>58.292792875252836</v>
      </c>
      <c r="U55" s="28">
        <f t="shared" si="8"/>
        <v>34.609346924245664</v>
      </c>
      <c r="V55" s="11"/>
    </row>
    <row r="56" spans="1:43" x14ac:dyDescent="0.25">
      <c r="D56" s="11">
        <v>1.0000000000000001E-9</v>
      </c>
      <c r="E56" s="9">
        <v>319756.53000000003</v>
      </c>
      <c r="F56" s="9">
        <v>224420.15</v>
      </c>
      <c r="H56" s="10">
        <f t="shared" si="4"/>
        <v>272088.34000000003</v>
      </c>
      <c r="I56" s="9">
        <f t="shared" si="3"/>
        <v>66.024673563034312</v>
      </c>
      <c r="J56" s="28">
        <f t="shared" si="5"/>
        <v>2.1385380921316348</v>
      </c>
      <c r="N56" s="11">
        <v>1.0000000000000001E-9</v>
      </c>
      <c r="O56" s="10">
        <f t="shared" si="9"/>
        <v>155198.91333333333</v>
      </c>
      <c r="P56" s="10">
        <f t="shared" si="10"/>
        <v>120829</v>
      </c>
      <c r="Q56" s="10">
        <f t="shared" si="11"/>
        <v>292436.15666666668</v>
      </c>
      <c r="R56" s="10"/>
      <c r="S56" s="28">
        <f t="shared" si="6"/>
        <v>52.572096541111215</v>
      </c>
      <c r="T56" s="28">
        <f t="shared" si="7"/>
        <v>102.40332412263616</v>
      </c>
      <c r="U56" s="28">
        <f t="shared" si="8"/>
        <v>82.576752905971475</v>
      </c>
      <c r="V56" s="11"/>
    </row>
    <row r="57" spans="1:43" x14ac:dyDescent="0.25">
      <c r="C57" s="27"/>
      <c r="D57" s="11">
        <v>1E-10</v>
      </c>
      <c r="E57" s="9">
        <v>413345.71</v>
      </c>
      <c r="F57" s="9">
        <v>454468.14</v>
      </c>
      <c r="G57" s="10"/>
      <c r="H57" s="10">
        <f t="shared" si="4"/>
        <v>433906.92500000005</v>
      </c>
      <c r="I57" s="9">
        <f t="shared" si="3"/>
        <v>105.29140307837159</v>
      </c>
      <c r="J57" s="28">
        <f t="shared" si="5"/>
        <v>3.4103868161061381</v>
      </c>
      <c r="N57" s="11">
        <v>1E-10</v>
      </c>
      <c r="O57" s="10">
        <f t="shared" si="9"/>
        <v>317017.49833333335</v>
      </c>
      <c r="P57" s="10">
        <f t="shared" si="10"/>
        <v>120929.10999999999</v>
      </c>
      <c r="Q57" s="10">
        <f t="shared" si="11"/>
        <v>375123.58166666667</v>
      </c>
      <c r="R57" s="10"/>
      <c r="S57" s="28">
        <f t="shared" si="6"/>
        <v>107.38654137227142</v>
      </c>
      <c r="T57" s="28">
        <f t="shared" si="7"/>
        <v>102.48816796623261</v>
      </c>
      <c r="U57" s="28">
        <f t="shared" si="8"/>
        <v>105.92564088372933</v>
      </c>
    </row>
    <row r="58" spans="1:43" x14ac:dyDescent="0.25">
      <c r="C58" s="27"/>
      <c r="D58" s="56"/>
      <c r="E58" s="9"/>
      <c r="F58" s="9"/>
      <c r="G58" s="10"/>
      <c r="H58" s="9"/>
      <c r="I58" s="27"/>
      <c r="Q58" s="10"/>
      <c r="T58" s="18"/>
      <c r="U58" s="18"/>
      <c r="V58" s="18"/>
      <c r="W58" s="18"/>
      <c r="X58" s="18"/>
      <c r="Y58" s="18"/>
      <c r="Z58" s="17"/>
      <c r="AA58" s="17"/>
      <c r="AB58" s="17"/>
      <c r="AC58" s="17"/>
      <c r="AD58" s="17"/>
      <c r="AE58" s="17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1:43" x14ac:dyDescent="0.25">
      <c r="C59" s="27"/>
      <c r="D59" s="56"/>
      <c r="E59" s="9"/>
      <c r="F59" s="9"/>
      <c r="G59" s="10"/>
      <c r="H59" s="9"/>
      <c r="I59" s="27"/>
      <c r="T59" s="18"/>
      <c r="U59" s="18"/>
      <c r="V59" s="18"/>
      <c r="W59" s="18"/>
      <c r="X59" s="18"/>
      <c r="Y59" s="18"/>
      <c r="Z59" s="17"/>
      <c r="AA59" s="17"/>
      <c r="AB59" s="17"/>
      <c r="AC59" s="17"/>
      <c r="AD59" s="17"/>
      <c r="AE59" s="17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1:43" x14ac:dyDescent="0.25">
      <c r="B60" s="17"/>
      <c r="C60" s="17"/>
      <c r="D60" s="17"/>
      <c r="E60" s="17" t="s">
        <v>5</v>
      </c>
      <c r="F60" s="17"/>
      <c r="H60" s="17" t="s">
        <v>3</v>
      </c>
      <c r="I60" s="17" t="s">
        <v>41</v>
      </c>
      <c r="J60" s="27"/>
      <c r="K60" s="26"/>
      <c r="L60" s="21"/>
      <c r="M60" s="17" t="s">
        <v>52</v>
      </c>
      <c r="N60" s="17"/>
      <c r="O60" s="17"/>
      <c r="P60" s="17"/>
      <c r="Q60" s="17"/>
      <c r="R60" s="17"/>
      <c r="S60" t="s">
        <v>85</v>
      </c>
      <c r="T60"/>
      <c r="U60"/>
      <c r="V60"/>
      <c r="W60"/>
      <c r="X60" s="39"/>
      <c r="Y60" s="39"/>
      <c r="Z60"/>
      <c r="AA60"/>
      <c r="AB60"/>
      <c r="AC60" s="17"/>
      <c r="AD60" s="17"/>
      <c r="AE60" s="17"/>
      <c r="AF60" s="18"/>
      <c r="AG60" s="18"/>
      <c r="AH60" s="18"/>
      <c r="AI60" s="18"/>
      <c r="AJ60" s="18"/>
      <c r="AK60" s="18"/>
      <c r="AL60" s="18"/>
      <c r="AM60" s="35"/>
      <c r="AN60" s="18"/>
      <c r="AO60" s="18"/>
      <c r="AP60" s="18"/>
      <c r="AQ60" s="18"/>
    </row>
    <row r="61" spans="1:43" x14ac:dyDescent="0.25">
      <c r="B61" s="17" t="s">
        <v>59</v>
      </c>
      <c r="C61" s="17"/>
      <c r="D61" s="17"/>
      <c r="E61" s="17"/>
      <c r="F61" s="17"/>
      <c r="H61" s="17"/>
      <c r="I61" s="17"/>
      <c r="J61" s="27"/>
      <c r="K61" s="10"/>
      <c r="L61" s="28"/>
      <c r="M61" s="17"/>
      <c r="N61" s="17"/>
      <c r="O61" s="17"/>
      <c r="P61" s="9"/>
      <c r="Q61" s="9"/>
      <c r="R61" s="17"/>
      <c r="S61"/>
      <c r="T61"/>
      <c r="U61"/>
      <c r="V61"/>
      <c r="W61"/>
      <c r="X61"/>
      <c r="Y61" s="39"/>
      <c r="Z61" t="s">
        <v>86</v>
      </c>
      <c r="AA61" s="90"/>
      <c r="AB61" s="90"/>
      <c r="AC61" s="17"/>
      <c r="AD61" s="17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x14ac:dyDescent="0.25">
      <c r="B62" s="17"/>
      <c r="C62" s="53" t="s">
        <v>7</v>
      </c>
      <c r="D62" s="17"/>
      <c r="E62" s="9">
        <v>168890.56</v>
      </c>
      <c r="F62" s="9">
        <v>200423.22</v>
      </c>
      <c r="G62" s="9">
        <v>202083.62</v>
      </c>
      <c r="H62" s="9">
        <f>AVERAGE(E62:G62)</f>
        <v>190465.80000000002</v>
      </c>
      <c r="I62" s="9">
        <f>+H62*100/$H$62</f>
        <v>99.999999999999986</v>
      </c>
      <c r="J62" s="28">
        <f>+H62*100/12723100</f>
        <v>1.4970078047016844</v>
      </c>
      <c r="K62" s="10"/>
      <c r="L62" s="28"/>
      <c r="M62" s="17"/>
      <c r="N62" s="17"/>
      <c r="O62" s="17" t="s">
        <v>58</v>
      </c>
      <c r="P62" s="17" t="s">
        <v>59</v>
      </c>
      <c r="Q62" s="17" t="s">
        <v>60</v>
      </c>
      <c r="R62" s="17"/>
      <c r="S62"/>
      <c r="T62"/>
      <c r="U62"/>
      <c r="V62" t="s">
        <v>87</v>
      </c>
      <c r="W62" s="39"/>
      <c r="X62" t="s">
        <v>88</v>
      </c>
      <c r="Y62" s="39"/>
      <c r="Z62" t="s">
        <v>58</v>
      </c>
      <c r="AA62" t="s">
        <v>59</v>
      </c>
      <c r="AB62" t="s">
        <v>60</v>
      </c>
      <c r="AC62" s="17"/>
      <c r="AD62" s="17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x14ac:dyDescent="0.25">
      <c r="B63" s="17"/>
      <c r="C63" s="53" t="s">
        <v>40</v>
      </c>
      <c r="D63" s="34">
        <v>9.9999999999999995E-7</v>
      </c>
      <c r="E63" s="9">
        <v>71229.91</v>
      </c>
      <c r="F63" s="9">
        <v>59659.74</v>
      </c>
      <c r="G63" s="9">
        <v>86528.03</v>
      </c>
      <c r="H63" s="9">
        <f t="shared" ref="H63:H68" si="12">AVERAGE(E63:G63)</f>
        <v>72472.56</v>
      </c>
      <c r="I63" s="9">
        <f t="shared" ref="I63:I68" si="13">+H63*100/$H$62</f>
        <v>38.050169636753679</v>
      </c>
      <c r="J63" s="28">
        <f t="shared" ref="J63:J68" si="14">+H63*100/12723100</f>
        <v>0.56961400916443317</v>
      </c>
      <c r="K63" s="10"/>
      <c r="L63" s="28"/>
      <c r="M63" s="17" t="s">
        <v>50</v>
      </c>
      <c r="N63" s="31" t="s">
        <v>51</v>
      </c>
      <c r="O63" s="77">
        <f t="shared" ref="O63:O68" si="15">+O52/$N$37</f>
        <v>605.93682726702571</v>
      </c>
      <c r="P63" s="77">
        <f t="shared" ref="P63:P68" si="16">+P52/$N$38</f>
        <v>550.46674380607374</v>
      </c>
      <c r="Q63" s="77">
        <f t="shared" ref="Q63:Q68" si="17">+Q52/$N$39</f>
        <v>1020.3561716894184</v>
      </c>
      <c r="R63" s="9"/>
      <c r="S63"/>
      <c r="T63"/>
      <c r="U63" t="s">
        <v>55</v>
      </c>
      <c r="V63" s="91">
        <f>+I38*1000000000</f>
        <v>2.4609375</v>
      </c>
      <c r="W63" s="39"/>
      <c r="X63" s="92">
        <f>+V63/$V$63</f>
        <v>1</v>
      </c>
      <c r="Y63" s="39"/>
      <c r="Z63" s="93">
        <f>+O63*$X$63</f>
        <v>605.93682726702571</v>
      </c>
      <c r="AA63" s="93">
        <f t="shared" ref="AA63:AB63" si="18">+P63*$X$63</f>
        <v>550.46674380607374</v>
      </c>
      <c r="AB63" s="93">
        <f t="shared" si="18"/>
        <v>1020.3561716894184</v>
      </c>
      <c r="AC63" s="17"/>
      <c r="AD63" s="17"/>
      <c r="AE63" s="17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x14ac:dyDescent="0.25">
      <c r="B64" s="17"/>
      <c r="C64" s="53" t="s">
        <v>37</v>
      </c>
      <c r="D64" s="34">
        <v>9.9999999999999995E-7</v>
      </c>
      <c r="E64" s="9">
        <v>82093.490000000005</v>
      </c>
      <c r="F64" s="9">
        <v>100861.17</v>
      </c>
      <c r="H64" s="9">
        <f t="shared" si="12"/>
        <v>91477.33</v>
      </c>
      <c r="I64" s="9">
        <f t="shared" si="13"/>
        <v>48.028218189302223</v>
      </c>
      <c r="J64" s="28">
        <f t="shared" si="14"/>
        <v>0.7189861747530083</v>
      </c>
      <c r="K64" s="10"/>
      <c r="L64" s="28"/>
      <c r="M64" s="31" t="s">
        <v>54</v>
      </c>
      <c r="N64" s="34">
        <v>9.9999999999999995E-7</v>
      </c>
      <c r="O64" s="77">
        <f t="shared" si="15"/>
        <v>19.96094273071725</v>
      </c>
      <c r="P64" s="77">
        <f t="shared" si="16"/>
        <v>88.661806885575444</v>
      </c>
      <c r="Q64" s="77">
        <f t="shared" si="17"/>
        <v>-9.1465013133167474</v>
      </c>
      <c r="R64" s="9"/>
      <c r="S64"/>
      <c r="T64"/>
      <c r="U64" s="90">
        <v>9.9999999999999995E-7</v>
      </c>
      <c r="V64" s="93">
        <f>+(U64+$I$38)*1000000000</f>
        <v>1002.4609375</v>
      </c>
      <c r="W64" s="39"/>
      <c r="X64" s="92">
        <f>+V64/$V$63</f>
        <v>407.34920634920633</v>
      </c>
      <c r="Y64" s="39"/>
      <c r="Z64" s="93">
        <f>+O64*$X$64</f>
        <v>8131.074179339631</v>
      </c>
      <c r="AA64" s="93">
        <f t="shared" ref="AA64:AB64" si="19">+P64*$X$64</f>
        <v>36116.316668325751</v>
      </c>
      <c r="AB64" s="93">
        <f t="shared" si="19"/>
        <v>-3725.8200508515506</v>
      </c>
      <c r="AC64" s="17"/>
      <c r="AD64" s="17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2:43" x14ac:dyDescent="0.25">
      <c r="B65" s="17"/>
      <c r="C65" s="53"/>
      <c r="D65" s="34">
        <v>9.9999999999999995E-8</v>
      </c>
      <c r="E65" s="9">
        <v>97868.34</v>
      </c>
      <c r="F65" s="9">
        <v>98879.38</v>
      </c>
      <c r="H65" s="9">
        <f t="shared" si="12"/>
        <v>98373.86</v>
      </c>
      <c r="I65" s="9">
        <f t="shared" si="13"/>
        <v>51.649093958075412</v>
      </c>
      <c r="J65" s="28">
        <f t="shared" si="14"/>
        <v>0.77319096761009498</v>
      </c>
      <c r="K65" s="10"/>
      <c r="L65" s="28"/>
      <c r="M65" s="17"/>
      <c r="N65" s="34">
        <v>9.9999999999999995E-8</v>
      </c>
      <c r="O65" s="77">
        <f t="shared" si="15"/>
        <v>60.025990207549675</v>
      </c>
      <c r="P65" s="77">
        <f t="shared" si="16"/>
        <v>120.83577221325778</v>
      </c>
      <c r="Q65" s="77">
        <f t="shared" si="17"/>
        <v>20.135378889557344</v>
      </c>
      <c r="R65" s="9"/>
      <c r="S65"/>
      <c r="T65"/>
      <c r="U65" s="90">
        <v>9.9999999999999995E-8</v>
      </c>
      <c r="V65" s="93">
        <f t="shared" ref="V65:V68" si="20">+(U65+$I$38)*1000000000</f>
        <v>102.46093749999999</v>
      </c>
      <c r="W65" s="39"/>
      <c r="X65" s="92">
        <f>+V65/$V$63</f>
        <v>41.634920634920633</v>
      </c>
      <c r="Y65" s="39"/>
      <c r="Z65" s="93">
        <f>+O65*$X$65</f>
        <v>2499.1773383238537</v>
      </c>
      <c r="AA65" s="93">
        <f t="shared" ref="AA65:AB65" si="21">+P65*$X$65</f>
        <v>5030.9877859583357</v>
      </c>
      <c r="AB65" s="93">
        <f t="shared" si="21"/>
        <v>838.33490202077633</v>
      </c>
      <c r="AC65" s="17"/>
      <c r="AD65" s="17"/>
      <c r="AE65" s="17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2:43" x14ac:dyDescent="0.25">
      <c r="B66" s="17"/>
      <c r="C66" s="53"/>
      <c r="D66" s="34">
        <v>1E-8</v>
      </c>
      <c r="E66" s="9">
        <v>148180.34</v>
      </c>
      <c r="F66" s="9">
        <v>134327.89000000001</v>
      </c>
      <c r="H66" s="9">
        <f t="shared" si="12"/>
        <v>141254.11499999999</v>
      </c>
      <c r="I66" s="9">
        <f t="shared" si="13"/>
        <v>74.162455936971355</v>
      </c>
      <c r="J66" s="28">
        <f t="shared" si="14"/>
        <v>1.1102177535349089</v>
      </c>
      <c r="K66" s="10"/>
      <c r="L66" s="28"/>
      <c r="M66" s="17"/>
      <c r="N66" s="34">
        <v>1E-8</v>
      </c>
      <c r="O66" s="77">
        <f t="shared" si="15"/>
        <v>281.17221316228466</v>
      </c>
      <c r="P66" s="77">
        <f t="shared" si="16"/>
        <v>320.88243881402326</v>
      </c>
      <c r="Q66" s="77">
        <f t="shared" si="17"/>
        <v>353.13860732294251</v>
      </c>
      <c r="R66" s="9"/>
      <c r="S66"/>
      <c r="T66"/>
      <c r="U66" s="90">
        <v>1E-8</v>
      </c>
      <c r="V66" s="92">
        <f t="shared" si="20"/>
        <v>12.4609375</v>
      </c>
      <c r="W66" s="39"/>
      <c r="X66" s="92">
        <f>+V66/$V$63</f>
        <v>5.0634920634920633</v>
      </c>
      <c r="Y66" s="39"/>
      <c r="Z66" s="93">
        <f>+O66*$X$66</f>
        <v>1423.713269821727</v>
      </c>
      <c r="AA66" s="93">
        <f t="shared" ref="AA66:AB66" si="22">+P66*$X$66</f>
        <v>1624.7856822487843</v>
      </c>
      <c r="AB66" s="93">
        <f t="shared" si="22"/>
        <v>1788.1145354923597</v>
      </c>
      <c r="AC66" s="17"/>
      <c r="AD66" s="17"/>
      <c r="AE66" s="17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2:43" x14ac:dyDescent="0.25">
      <c r="B67" s="17"/>
      <c r="C67" s="17"/>
      <c r="D67" s="34">
        <v>1.0000000000000001E-9</v>
      </c>
      <c r="E67" s="9">
        <v>177418.65</v>
      </c>
      <c r="F67" s="9">
        <v>209184.47</v>
      </c>
      <c r="H67" s="9">
        <f t="shared" si="12"/>
        <v>193301.56</v>
      </c>
      <c r="I67" s="9">
        <f t="shared" si="13"/>
        <v>101.48885521705208</v>
      </c>
      <c r="J67" s="28">
        <f t="shared" si="14"/>
        <v>1.5192960835016622</v>
      </c>
      <c r="K67" s="10"/>
      <c r="L67" s="28"/>
      <c r="M67" s="17"/>
      <c r="N67" s="34">
        <v>1.0000000000000001E-9</v>
      </c>
      <c r="O67" s="77">
        <f t="shared" si="15"/>
        <v>318.55369380896713</v>
      </c>
      <c r="P67" s="77">
        <f t="shared" si="16"/>
        <v>563.69624384705492</v>
      </c>
      <c r="Q67" s="77">
        <f t="shared" si="17"/>
        <v>842.57699465680105</v>
      </c>
      <c r="R67" s="9"/>
      <c r="S67"/>
      <c r="T67"/>
      <c r="U67" s="90">
        <v>1.0000000000000001E-9</v>
      </c>
      <c r="V67" s="91">
        <f t="shared" si="20"/>
        <v>3.4609375000000004</v>
      </c>
      <c r="W67" s="39"/>
      <c r="X67" s="92">
        <f>+V67/$V$63</f>
        <v>1.4063492063492065</v>
      </c>
      <c r="Y67" s="39"/>
      <c r="Z67" s="93">
        <f>+O67*$X$67</f>
        <v>447.99773446784906</v>
      </c>
      <c r="AA67" s="93">
        <f t="shared" ref="AA67:AB67" si="23">+P67*$X$67</f>
        <v>792.75376515633445</v>
      </c>
      <c r="AB67" s="93">
        <f t="shared" si="23"/>
        <v>1184.9574877236917</v>
      </c>
      <c r="AC67" s="17"/>
      <c r="AD67" s="17"/>
      <c r="AE67" s="17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2:43" x14ac:dyDescent="0.25">
      <c r="B68" s="17"/>
      <c r="C68" s="53"/>
      <c r="D68" s="11">
        <v>1E-10</v>
      </c>
      <c r="E68" s="9">
        <v>190722.12</v>
      </c>
      <c r="F68" s="9">
        <v>196081.22</v>
      </c>
      <c r="G68" s="9"/>
      <c r="H68" s="9">
        <f t="shared" si="12"/>
        <v>193401.66999999998</v>
      </c>
      <c r="I68" s="9">
        <f t="shared" si="13"/>
        <v>101.54141583423375</v>
      </c>
      <c r="J68" s="28">
        <f t="shared" si="14"/>
        <v>1.5200829200430712</v>
      </c>
      <c r="K68" s="10"/>
      <c r="L68" s="28"/>
      <c r="M68" s="17"/>
      <c r="N68" s="34">
        <v>1E-10</v>
      </c>
      <c r="O68" s="77">
        <f t="shared" si="15"/>
        <v>650.69460170293337</v>
      </c>
      <c r="P68" s="77">
        <f t="shared" si="16"/>
        <v>564.16328099022019</v>
      </c>
      <c r="Q68" s="77">
        <f t="shared" si="17"/>
        <v>1080.818814158702</v>
      </c>
      <c r="R68" s="9"/>
      <c r="S68"/>
      <c r="T68" s="93"/>
      <c r="U68" s="90">
        <v>1E-10</v>
      </c>
      <c r="V68" s="91">
        <f t="shared" si="20"/>
        <v>2.5609375000000001</v>
      </c>
      <c r="W68" s="39"/>
      <c r="X68" s="92">
        <f>+V68/$V$63</f>
        <v>1.0406349206349206</v>
      </c>
      <c r="Y68" s="39"/>
      <c r="Z68" s="93">
        <f>+O68*$X$68</f>
        <v>677.13552520070334</v>
      </c>
      <c r="AA68" s="93">
        <f t="shared" ref="AA68:AB68" si="24">+P68*$X$68</f>
        <v>587.08801113839422</v>
      </c>
      <c r="AB68" s="93">
        <f t="shared" si="24"/>
        <v>1124.7378008927699</v>
      </c>
      <c r="AC68" s="34"/>
      <c r="AD68" s="34"/>
      <c r="AE68" s="34"/>
      <c r="AF68" s="18"/>
      <c r="AG68" s="18"/>
      <c r="AH68" s="38"/>
      <c r="AI68" s="38"/>
      <c r="AJ68" s="38"/>
      <c r="AK68" s="38"/>
      <c r="AL68" s="38"/>
      <c r="AM68" s="18"/>
      <c r="AN68" s="18"/>
      <c r="AO68" s="18"/>
      <c r="AP68" s="18"/>
      <c r="AQ68" s="18"/>
    </row>
    <row r="69" spans="2:43" x14ac:dyDescent="0.25">
      <c r="B69" s="17"/>
      <c r="C69" s="17"/>
      <c r="D69" s="17"/>
      <c r="E69" s="17"/>
      <c r="F69" s="17"/>
      <c r="G69" s="17"/>
      <c r="H69" s="17"/>
      <c r="I69" s="17"/>
      <c r="J69" s="9"/>
      <c r="K69" s="10"/>
      <c r="L69" s="28"/>
      <c r="M69" s="18"/>
      <c r="N69" s="18"/>
      <c r="O69" s="18"/>
      <c r="P69" s="29"/>
      <c r="Q69" s="77"/>
      <c r="R69" s="18"/>
      <c r="S69" s="18"/>
      <c r="T69" s="29"/>
      <c r="U69" s="29"/>
      <c r="V69" s="29"/>
      <c r="W69" s="29"/>
      <c r="X69" s="29"/>
      <c r="Y69" s="18"/>
      <c r="Z69" s="17"/>
      <c r="AA69" s="34"/>
      <c r="AB69" s="34"/>
      <c r="AC69" s="34"/>
      <c r="AD69" s="34"/>
      <c r="AE69" s="34"/>
      <c r="AF69" s="18"/>
      <c r="AG69" s="18"/>
      <c r="AH69" s="38"/>
      <c r="AI69" s="38"/>
      <c r="AJ69" s="38"/>
      <c r="AK69" s="38"/>
      <c r="AL69" s="38"/>
      <c r="AM69" s="29"/>
      <c r="AN69" s="18"/>
      <c r="AO69" s="18"/>
      <c r="AP69" s="18"/>
      <c r="AQ69" s="18"/>
    </row>
    <row r="70" spans="2:43" x14ac:dyDescent="0.25">
      <c r="B70" s="17"/>
      <c r="C70" s="17"/>
      <c r="D70" s="17"/>
      <c r="E70" s="17"/>
      <c r="F70" s="17"/>
      <c r="G70" s="17"/>
      <c r="H70" s="17"/>
      <c r="I70" s="17"/>
      <c r="J70" s="9"/>
      <c r="K70" s="10"/>
      <c r="L70" s="28"/>
      <c r="M70" s="17" t="s">
        <v>53</v>
      </c>
      <c r="N70" s="17"/>
      <c r="O70" s="17"/>
      <c r="P70" s="9"/>
      <c r="Q70" s="9"/>
      <c r="R70" s="17"/>
      <c r="S70" s="18"/>
      <c r="T70" s="29"/>
      <c r="U70" s="29"/>
      <c r="V70" s="29"/>
      <c r="W70" s="29"/>
      <c r="X70" s="29"/>
      <c r="Y70" s="18"/>
      <c r="Z70" s="17"/>
      <c r="AA70" s="34"/>
      <c r="AB70" s="34"/>
      <c r="AC70" s="34"/>
      <c r="AD70" s="34"/>
      <c r="AE70" s="34"/>
      <c r="AF70" s="18"/>
      <c r="AG70" s="18"/>
      <c r="AH70" s="38"/>
      <c r="AI70" s="38"/>
      <c r="AJ70" s="38"/>
      <c r="AK70" s="38"/>
      <c r="AL70" s="38"/>
      <c r="AM70" s="29"/>
      <c r="AN70" s="18"/>
      <c r="AO70" s="18"/>
      <c r="AP70" s="18"/>
      <c r="AQ70" s="18"/>
    </row>
    <row r="71" spans="2:43" x14ac:dyDescent="0.25">
      <c r="E71" s="13" t="s">
        <v>5</v>
      </c>
      <c r="H71" s="13" t="s">
        <v>3</v>
      </c>
      <c r="I71" s="13" t="s">
        <v>41</v>
      </c>
      <c r="M71" s="17"/>
      <c r="N71" s="17"/>
      <c r="O71" s="17" t="s">
        <v>58</v>
      </c>
      <c r="P71" s="17" t="s">
        <v>59</v>
      </c>
      <c r="Q71" s="17" t="s">
        <v>60</v>
      </c>
      <c r="R71" s="17"/>
      <c r="S71" s="18"/>
      <c r="T71" s="29"/>
      <c r="U71" s="29"/>
      <c r="V71" s="29"/>
      <c r="W71" s="29"/>
      <c r="X71" s="29"/>
      <c r="Y71" s="18"/>
      <c r="Z71" s="17"/>
      <c r="AA71" s="34"/>
      <c r="AB71" s="34"/>
      <c r="AC71" s="34"/>
      <c r="AD71" s="34"/>
      <c r="AE71" s="34"/>
      <c r="AF71" s="18"/>
      <c r="AG71" s="18"/>
      <c r="AH71" s="38"/>
      <c r="AI71" s="38"/>
      <c r="AJ71" s="38"/>
      <c r="AK71" s="38"/>
      <c r="AL71" s="38"/>
      <c r="AM71" s="29"/>
      <c r="AN71" s="18"/>
      <c r="AO71" s="18"/>
      <c r="AP71" s="18"/>
      <c r="AQ71" s="18"/>
    </row>
    <row r="72" spans="2:43" x14ac:dyDescent="0.25">
      <c r="B72" s="13" t="s">
        <v>60</v>
      </c>
      <c r="M72" s="17" t="s">
        <v>50</v>
      </c>
      <c r="N72" s="31" t="s">
        <v>51</v>
      </c>
      <c r="O72" s="79">
        <f t="shared" ref="O72:Q77" si="25">+O63*$K$25</f>
        <v>1.1720196101415872E-16</v>
      </c>
      <c r="P72" s="79">
        <f t="shared" ref="P72:Q72" si="26">+P63*$K$25</f>
        <v>1.0647278551815003E-16</v>
      </c>
      <c r="Q72" s="79">
        <f t="shared" si="26"/>
        <v>1.9736008585957632E-16</v>
      </c>
      <c r="R72" s="79"/>
      <c r="S72" s="18"/>
      <c r="T72" s="29"/>
      <c r="U72" s="29"/>
      <c r="V72" s="29"/>
      <c r="W72" s="29"/>
      <c r="X72" s="29"/>
      <c r="Y72" s="18"/>
      <c r="Z72" s="17"/>
      <c r="AA72" s="34"/>
      <c r="AB72" s="34"/>
      <c r="AC72" s="34"/>
      <c r="AD72" s="34"/>
      <c r="AE72" s="34"/>
      <c r="AF72" s="18"/>
      <c r="AG72" s="18"/>
      <c r="AH72" s="38"/>
      <c r="AI72" s="38"/>
      <c r="AJ72" s="38"/>
      <c r="AK72" s="38"/>
      <c r="AL72" s="38"/>
      <c r="AM72" s="18"/>
      <c r="AN72" s="18"/>
      <c r="AO72" s="18"/>
      <c r="AP72" s="18"/>
      <c r="AQ72" s="18"/>
    </row>
    <row r="73" spans="2:43" x14ac:dyDescent="0.25">
      <c r="C73" s="27" t="s">
        <v>7</v>
      </c>
      <c r="E73" s="10">
        <v>465062.77</v>
      </c>
      <c r="F73" s="10">
        <v>463500.13</v>
      </c>
      <c r="G73" s="10">
        <v>486553.85</v>
      </c>
      <c r="H73" s="10">
        <f>AVERAGE(E73:G73)</f>
        <v>471705.58333333331</v>
      </c>
      <c r="I73" s="9">
        <f>+H73*100/$H$73</f>
        <v>100</v>
      </c>
      <c r="J73" s="28">
        <f t="shared" ref="J73:J79" si="27">+H73*100/12723100</f>
        <v>3.707473676488696</v>
      </c>
      <c r="M73" s="31" t="s">
        <v>54</v>
      </c>
      <c r="N73" s="34">
        <v>9.9999999999999995E-7</v>
      </c>
      <c r="O73" s="79">
        <f t="shared" si="25"/>
        <v>3.860900223350212E-18</v>
      </c>
      <c r="P73" s="79">
        <f t="shared" si="25"/>
        <v>1.7149209565156209E-17</v>
      </c>
      <c r="Q73" s="79">
        <f t="shared" si="25"/>
        <v>-1.769141339657995E-18</v>
      </c>
      <c r="R73" s="79"/>
      <c r="S73" s="18"/>
      <c r="T73" s="29"/>
      <c r="U73" s="29"/>
      <c r="V73" s="29"/>
      <c r="W73" s="29"/>
      <c r="X73" s="29"/>
      <c r="Y73" s="18"/>
      <c r="Z73" s="17"/>
      <c r="AA73" s="34"/>
      <c r="AB73" s="34"/>
      <c r="AC73" s="34"/>
      <c r="AD73" s="34"/>
      <c r="AE73" s="34"/>
      <c r="AF73" s="18"/>
      <c r="AG73" s="18"/>
      <c r="AH73" s="38"/>
      <c r="AI73" s="38"/>
      <c r="AJ73" s="38"/>
      <c r="AK73" s="38"/>
      <c r="AL73" s="38"/>
      <c r="AM73" s="18"/>
      <c r="AN73" s="18"/>
      <c r="AO73" s="18"/>
      <c r="AP73" s="18"/>
      <c r="AQ73" s="18"/>
    </row>
    <row r="74" spans="2:43" x14ac:dyDescent="0.25">
      <c r="C74" s="27" t="s">
        <v>40</v>
      </c>
      <c r="D74" s="11">
        <v>9.9999999999999995E-7</v>
      </c>
      <c r="E74" s="10">
        <v>119382.18</v>
      </c>
      <c r="F74" s="10">
        <v>115413.22</v>
      </c>
      <c r="G74" s="10">
        <v>117905.55</v>
      </c>
      <c r="H74" s="10">
        <f t="shared" ref="H74:H79" si="28">AVERAGE(E74:G74)</f>
        <v>117566.98333333334</v>
      </c>
      <c r="I74" s="9">
        <f t="shared" ref="I74:I79" si="29">+H74*100/$H$73</f>
        <v>24.923805756662837</v>
      </c>
      <c r="J74" s="28">
        <f t="shared" si="27"/>
        <v>0.92404353760744895</v>
      </c>
      <c r="M74" s="17"/>
      <c r="N74" s="34">
        <v>9.9999999999999995E-8</v>
      </c>
      <c r="O74" s="79">
        <f t="shared" si="25"/>
        <v>1.1610391459242396E-17</v>
      </c>
      <c r="P74" s="79">
        <f t="shared" si="25"/>
        <v>2.3372386075179046E-17</v>
      </c>
      <c r="Q74" s="79">
        <f t="shared" si="25"/>
        <v>3.8946401430379563E-18</v>
      </c>
      <c r="R74" s="79"/>
      <c r="S74" s="18"/>
      <c r="T74" s="18"/>
      <c r="U74" s="18"/>
      <c r="V74" s="18"/>
      <c r="W74" s="18"/>
      <c r="X74" s="18"/>
      <c r="Y74" s="18"/>
      <c r="Z74" s="17"/>
      <c r="AA74" s="34"/>
      <c r="AB74" s="23"/>
      <c r="AC74" s="23"/>
      <c r="AD74" s="23"/>
      <c r="AE74" s="23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2:43" x14ac:dyDescent="0.25">
      <c r="C75" s="27" t="s">
        <v>37</v>
      </c>
      <c r="D75" s="11">
        <v>9.9999999999999995E-7</v>
      </c>
      <c r="E75" s="9">
        <v>109418.06</v>
      </c>
      <c r="F75" s="9">
        <v>119366.89</v>
      </c>
      <c r="H75" s="10">
        <f t="shared" si="28"/>
        <v>114392.47500000001</v>
      </c>
      <c r="I75" s="9">
        <f t="shared" si="29"/>
        <v>24.25082064783701</v>
      </c>
      <c r="J75" s="28">
        <f t="shared" si="27"/>
        <v>0.89909279185104263</v>
      </c>
      <c r="M75" s="17"/>
      <c r="N75" s="34">
        <v>1E-8</v>
      </c>
      <c r="O75" s="79">
        <f t="shared" si="25"/>
        <v>5.4385099704112544E-17</v>
      </c>
      <c r="P75" s="79">
        <f t="shared" si="25"/>
        <v>6.2065960330607406E-17</v>
      </c>
      <c r="Q75" s="79">
        <f t="shared" si="25"/>
        <v>6.8305036805129876E-17</v>
      </c>
      <c r="R75" s="79"/>
      <c r="S75" s="18"/>
      <c r="T75" s="18"/>
      <c r="U75" s="18"/>
      <c r="V75" s="18"/>
      <c r="W75" s="18"/>
      <c r="X75" s="18"/>
      <c r="Y75" s="18"/>
      <c r="Z75" s="18"/>
      <c r="AA75" s="34"/>
      <c r="AB75" s="23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x14ac:dyDescent="0.25">
      <c r="C76" s="27"/>
      <c r="D76" s="11">
        <v>9.9999999999999995E-8</v>
      </c>
      <c r="E76" s="9">
        <v>119632.13</v>
      </c>
      <c r="F76" s="9">
        <v>129478.75</v>
      </c>
      <c r="H76" s="10">
        <f t="shared" si="28"/>
        <v>124555.44</v>
      </c>
      <c r="I76" s="9">
        <f t="shared" si="29"/>
        <v>26.405335107509682</v>
      </c>
      <c r="J76" s="28">
        <f t="shared" si="27"/>
        <v>0.97897084829954961</v>
      </c>
      <c r="M76" s="17"/>
      <c r="N76" s="34">
        <v>1.0000000000000001E-9</v>
      </c>
      <c r="O76" s="79">
        <f t="shared" si="25"/>
        <v>6.1615528092439071E-17</v>
      </c>
      <c r="P76" s="79">
        <f t="shared" si="25"/>
        <v>1.090316716565504E-16</v>
      </c>
      <c r="Q76" s="79">
        <f t="shared" si="25"/>
        <v>1.6297355043527549E-16</v>
      </c>
      <c r="R76" s="79"/>
      <c r="S76" s="18"/>
      <c r="T76" s="18"/>
      <c r="U76" s="18"/>
      <c r="V76" s="18"/>
      <c r="W76" s="18"/>
      <c r="X76" s="18"/>
      <c r="Y76" s="18"/>
      <c r="Z76" s="18"/>
      <c r="AA76" s="34"/>
      <c r="AB76" s="23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2:43" x14ac:dyDescent="0.25">
      <c r="C77" s="27"/>
      <c r="D77" s="11">
        <v>1E-8</v>
      </c>
      <c r="E77" s="9">
        <v>252636.27</v>
      </c>
      <c r="F77" s="9">
        <v>227627.81</v>
      </c>
      <c r="H77" s="10">
        <f t="shared" si="28"/>
        <v>240132.03999999998</v>
      </c>
      <c r="I77" s="9">
        <f t="shared" si="29"/>
        <v>50.907186279859943</v>
      </c>
      <c r="J77" s="28">
        <f t="shared" si="27"/>
        <v>1.8873705307668727</v>
      </c>
      <c r="M77" s="17"/>
      <c r="N77" s="34">
        <v>1E-10</v>
      </c>
      <c r="O77" s="79">
        <f t="shared" si="25"/>
        <v>1.2585913235358298E-16</v>
      </c>
      <c r="P77" s="79">
        <f t="shared" si="25"/>
        <v>1.091220072601682E-16</v>
      </c>
      <c r="Q77" s="79">
        <f t="shared" si="25"/>
        <v>2.0905493579543469E-16</v>
      </c>
      <c r="R77" s="79"/>
      <c r="S77" s="18"/>
      <c r="T77" s="18"/>
      <c r="U77" s="18"/>
      <c r="V77" s="18"/>
      <c r="W77" s="18"/>
      <c r="X77" s="18"/>
      <c r="Y77" s="18"/>
      <c r="Z77" s="18"/>
      <c r="AA77" s="34"/>
      <c r="AB77" s="23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2:43" x14ac:dyDescent="0.25">
      <c r="D78" s="11">
        <v>1.0000000000000001E-9</v>
      </c>
      <c r="E78" s="9">
        <v>401660.04</v>
      </c>
      <c r="F78" s="9">
        <v>418346.23999999999</v>
      </c>
      <c r="H78" s="10">
        <f t="shared" si="28"/>
        <v>410003.14</v>
      </c>
      <c r="I78" s="9">
        <f t="shared" si="29"/>
        <v>86.919289168190545</v>
      </c>
      <c r="J78" s="28">
        <f t="shared" si="27"/>
        <v>3.222509765701755</v>
      </c>
      <c r="M78" s="17"/>
      <c r="N78" s="17"/>
      <c r="O78" s="80"/>
      <c r="P78" s="81"/>
      <c r="Q78" s="81"/>
      <c r="R78" s="17"/>
      <c r="S78" s="18"/>
      <c r="T78" s="18"/>
      <c r="U78" s="18"/>
      <c r="V78" s="18"/>
      <c r="W78" s="18"/>
      <c r="X78" s="18"/>
      <c r="Y78" s="18"/>
      <c r="Z78" s="18"/>
      <c r="AA78" s="34"/>
      <c r="AB78" s="2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x14ac:dyDescent="0.25">
      <c r="C79" s="27"/>
      <c r="D79" s="11">
        <v>1E-10</v>
      </c>
      <c r="E79" s="9">
        <v>496688.58</v>
      </c>
      <c r="F79" s="9">
        <v>488692.55</v>
      </c>
      <c r="G79" s="10"/>
      <c r="H79" s="10">
        <f t="shared" si="28"/>
        <v>492690.565</v>
      </c>
      <c r="I79" s="9">
        <f t="shared" si="29"/>
        <v>104.44874566003124</v>
      </c>
      <c r="J79" s="28">
        <f t="shared" si="27"/>
        <v>3.8724097507682878</v>
      </c>
      <c r="M79" s="18"/>
      <c r="N79" s="18"/>
      <c r="O79" s="18"/>
      <c r="P79" s="18"/>
      <c r="Q79" s="18"/>
      <c r="R79" s="18"/>
      <c r="T79" s="18"/>
      <c r="U79" s="18"/>
      <c r="V79" s="18"/>
      <c r="W79" s="18"/>
      <c r="X79" s="18"/>
      <c r="Y79" s="18"/>
      <c r="Z79" s="18"/>
      <c r="AA79" s="34"/>
      <c r="AB79" s="2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x14ac:dyDescent="0.25">
      <c r="C80" s="27"/>
      <c r="D80" s="56"/>
      <c r="E80" s="9"/>
      <c r="F80" s="9"/>
      <c r="G80" s="10"/>
      <c r="H80" s="9"/>
      <c r="I80" s="27"/>
      <c r="M80" s="18"/>
      <c r="N80" s="18"/>
      <c r="O80" s="18"/>
      <c r="P80" s="18"/>
      <c r="Q80" s="18"/>
      <c r="R80" s="18"/>
      <c r="T80" s="18"/>
      <c r="U80" s="18"/>
      <c r="V80" s="18"/>
      <c r="W80" s="18"/>
      <c r="X80" s="18"/>
      <c r="Y80" s="18"/>
      <c r="Z80" s="18"/>
      <c r="AA80" s="34"/>
      <c r="AB80" s="23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5">
      <c r="C81" s="27"/>
      <c r="D81" s="56"/>
      <c r="E81" s="9"/>
      <c r="F81" s="9"/>
      <c r="G81" s="10"/>
      <c r="H81" s="9"/>
      <c r="I81" s="27"/>
      <c r="N81" s="16"/>
      <c r="O81" s="16"/>
      <c r="P81" s="16"/>
      <c r="Q81" s="16"/>
      <c r="R81" s="16"/>
      <c r="T81" s="18"/>
      <c r="U81" s="18"/>
      <c r="V81" s="18"/>
      <c r="W81" s="18"/>
      <c r="X81" s="18"/>
      <c r="Y81" s="18"/>
      <c r="Z81" s="18"/>
      <c r="AA81" s="23"/>
      <c r="AB81" s="2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x14ac:dyDescent="0.25">
      <c r="B82" s="17"/>
      <c r="C82" s="17"/>
      <c r="D82" s="17"/>
      <c r="E82" s="17"/>
      <c r="F82" s="17"/>
      <c r="G82" s="17"/>
      <c r="H82" s="17"/>
      <c r="I82" s="27"/>
      <c r="J82" s="17"/>
      <c r="K82" s="26"/>
      <c r="N82" s="11"/>
      <c r="O82" s="16"/>
      <c r="P82" s="16"/>
      <c r="Q82" s="16"/>
      <c r="R82" s="16"/>
      <c r="T82" s="18"/>
      <c r="U82" s="18"/>
      <c r="V82" s="18"/>
      <c r="W82" s="18"/>
      <c r="X82" s="18"/>
      <c r="Y82" s="18"/>
      <c r="Z82" s="18"/>
      <c r="AA82" s="23"/>
      <c r="AB82" s="23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x14ac:dyDescent="0.25">
      <c r="B83" s="17"/>
      <c r="C83" s="17"/>
      <c r="D83" s="17"/>
      <c r="E83" s="17"/>
      <c r="F83" s="17"/>
      <c r="G83" s="17"/>
      <c r="H83" s="17"/>
      <c r="I83" s="27"/>
      <c r="J83" s="9"/>
      <c r="K83" s="10"/>
      <c r="N83" s="11"/>
      <c r="O83" s="16"/>
      <c r="P83" s="16"/>
      <c r="Q83" s="16"/>
      <c r="R83" s="16"/>
      <c r="T83" s="18"/>
      <c r="U83" s="18"/>
      <c r="V83" s="18"/>
      <c r="W83" s="18"/>
      <c r="X83" s="18"/>
      <c r="Y83" s="18"/>
      <c r="Z83" s="18"/>
      <c r="AA83" s="23"/>
      <c r="AB83" s="23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x14ac:dyDescent="0.25">
      <c r="B84" s="17"/>
      <c r="C84" s="53"/>
      <c r="D84" s="17"/>
      <c r="E84" s="9"/>
      <c r="F84" s="9"/>
      <c r="G84" s="9"/>
      <c r="H84" s="9"/>
      <c r="I84" s="27"/>
      <c r="J84" s="9"/>
      <c r="K84" s="10"/>
      <c r="N84" s="11"/>
      <c r="O84" s="16"/>
      <c r="P84" s="16"/>
      <c r="Q84" s="16"/>
      <c r="R84" s="16"/>
      <c r="T84" s="18"/>
      <c r="U84" s="18"/>
      <c r="V84" s="18"/>
      <c r="W84" s="18"/>
      <c r="X84" s="18"/>
      <c r="Y84" s="18"/>
      <c r="Z84" s="18"/>
      <c r="AA84" s="23"/>
      <c r="AB84" s="2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x14ac:dyDescent="0.25">
      <c r="B85" s="17"/>
      <c r="C85" s="53"/>
      <c r="D85" s="34"/>
      <c r="E85" s="9"/>
      <c r="F85" s="9"/>
      <c r="G85" s="9"/>
      <c r="H85" s="9"/>
      <c r="I85" s="27"/>
      <c r="J85" s="9"/>
      <c r="K85" s="10"/>
      <c r="N85" s="11"/>
      <c r="O85" s="16"/>
      <c r="P85" s="16"/>
      <c r="Q85" s="16"/>
      <c r="R85" s="16"/>
      <c r="T85" s="18"/>
      <c r="U85" s="18"/>
      <c r="V85" s="18"/>
      <c r="W85" s="18"/>
      <c r="X85" s="18"/>
      <c r="Y85" s="18"/>
      <c r="Z85" s="18"/>
      <c r="AA85" s="23"/>
      <c r="AB85" s="2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x14ac:dyDescent="0.25">
      <c r="B86" s="17"/>
      <c r="C86" s="53"/>
      <c r="D86" s="34"/>
      <c r="E86" s="9"/>
      <c r="F86" s="9"/>
      <c r="G86" s="9"/>
      <c r="H86" s="9"/>
      <c r="I86" s="27"/>
      <c r="J86" s="9"/>
      <c r="K86" s="10"/>
      <c r="T86" s="18"/>
      <c r="U86" s="18"/>
      <c r="V86" s="18"/>
      <c r="W86" s="18"/>
      <c r="X86" s="18"/>
      <c r="Y86" s="18"/>
      <c r="Z86" s="18"/>
      <c r="AA86" s="23"/>
      <c r="AB86" s="23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1:43" x14ac:dyDescent="0.25">
      <c r="A87" s="14"/>
      <c r="B87" s="17"/>
      <c r="C87" s="53"/>
      <c r="D87" s="34"/>
      <c r="E87" s="9"/>
      <c r="F87" s="9"/>
      <c r="G87" s="9"/>
      <c r="H87" s="9"/>
      <c r="I87" s="27"/>
      <c r="J87" s="9"/>
      <c r="K87" s="10"/>
      <c r="T87" s="18"/>
      <c r="U87" s="18"/>
      <c r="V87" s="18"/>
      <c r="W87" s="18"/>
      <c r="X87" s="18"/>
      <c r="Y87" s="18"/>
      <c r="Z87" s="18"/>
      <c r="AA87" s="23"/>
      <c r="AB87" s="23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1:43" x14ac:dyDescent="0.25">
      <c r="B88" s="17"/>
      <c r="C88" s="53"/>
      <c r="D88" s="34"/>
      <c r="E88" s="9"/>
      <c r="F88" s="9"/>
      <c r="G88" s="9"/>
      <c r="H88" s="9"/>
      <c r="I88" s="27"/>
      <c r="J88" s="9"/>
      <c r="K88" s="10"/>
      <c r="T88" s="18"/>
      <c r="U88" s="18"/>
      <c r="V88" s="18"/>
      <c r="W88" s="18"/>
      <c r="X88" s="18"/>
      <c r="Y88" s="18"/>
      <c r="Z88" s="18"/>
      <c r="AA88" s="23"/>
      <c r="AB88" s="23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1:43" x14ac:dyDescent="0.25">
      <c r="B89" s="17"/>
      <c r="C89" s="17"/>
      <c r="D89" s="34"/>
      <c r="E89" s="9"/>
      <c r="F89" s="9"/>
      <c r="G89" s="9"/>
      <c r="H89" s="9"/>
      <c r="I89" s="27"/>
      <c r="J89" s="9"/>
      <c r="K89" s="10"/>
      <c r="T89" s="18"/>
      <c r="U89" s="18"/>
      <c r="V89" s="18"/>
      <c r="W89" s="18"/>
      <c r="X89" s="18"/>
      <c r="Y89" s="18"/>
      <c r="Z89" s="18"/>
      <c r="AA89" s="23"/>
      <c r="AB89" s="2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1:43" x14ac:dyDescent="0.25">
      <c r="C90" s="27"/>
      <c r="D90" s="11"/>
      <c r="E90" s="9"/>
      <c r="F90" s="9"/>
      <c r="G90" s="10"/>
      <c r="H90" s="9"/>
      <c r="I90" s="10"/>
      <c r="J90" s="10"/>
      <c r="T90" s="18"/>
      <c r="U90" s="18"/>
      <c r="V90" s="18"/>
      <c r="W90" s="18"/>
      <c r="X90" s="18"/>
      <c r="Y90" s="18"/>
      <c r="Z90" s="18"/>
      <c r="AA90" s="23"/>
      <c r="AB90" s="2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  <row r="91" spans="1:43" x14ac:dyDescent="0.25">
      <c r="C91" s="27"/>
      <c r="D91" s="11"/>
      <c r="E91" s="9"/>
      <c r="F91" s="9"/>
      <c r="G91" s="10"/>
      <c r="H91" s="9"/>
      <c r="J91" s="10"/>
      <c r="K91" s="16"/>
      <c r="T91" s="18"/>
      <c r="U91" s="18"/>
      <c r="V91" s="18"/>
      <c r="W91" s="18"/>
      <c r="X91" s="18"/>
      <c r="Y91" s="18"/>
      <c r="Z91" s="18"/>
      <c r="AA91" s="23"/>
      <c r="AB91" s="2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</row>
    <row r="92" spans="1:43" x14ac:dyDescent="0.25">
      <c r="C92" s="27"/>
      <c r="D92" s="11"/>
      <c r="E92" s="9"/>
      <c r="F92" s="9"/>
      <c r="G92" s="10"/>
      <c r="H92" s="9"/>
      <c r="J92" s="10"/>
      <c r="T92" s="18"/>
      <c r="U92" s="18"/>
      <c r="V92" s="18"/>
      <c r="W92" s="18"/>
      <c r="X92" s="18"/>
      <c r="Y92" s="18"/>
      <c r="Z92" s="18"/>
      <c r="AA92" s="23"/>
      <c r="AB92" s="23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</row>
    <row r="93" spans="1:43" x14ac:dyDescent="0.25">
      <c r="C93" s="27"/>
      <c r="E93" s="10"/>
      <c r="F93" s="10"/>
      <c r="G93" s="10"/>
      <c r="H93" s="9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3"/>
      <c r="AG93" s="23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5">
      <c r="C94" s="52"/>
      <c r="D94" s="10"/>
      <c r="E94" s="53"/>
      <c r="F94" s="9"/>
      <c r="AF94" s="11"/>
      <c r="AG94" s="11"/>
    </row>
    <row r="95" spans="1:43" x14ac:dyDescent="0.25">
      <c r="C95" s="27"/>
      <c r="E95" s="10"/>
      <c r="F95" s="10"/>
      <c r="G95" s="10"/>
      <c r="H95" s="10"/>
      <c r="I95" s="10"/>
      <c r="J95" s="10"/>
    </row>
    <row r="97" spans="2:15" x14ac:dyDescent="0.25">
      <c r="E97" s="10"/>
      <c r="F97" s="10"/>
      <c r="G97" s="10"/>
      <c r="H97" s="10"/>
      <c r="I97" s="10"/>
      <c r="J97" s="10"/>
      <c r="K97" s="16"/>
    </row>
    <row r="98" spans="2:15" x14ac:dyDescent="0.25">
      <c r="E98" s="51"/>
      <c r="F98" s="10"/>
      <c r="H98" s="25"/>
    </row>
    <row r="100" spans="2:15" x14ac:dyDescent="0.25">
      <c r="E100" s="10"/>
      <c r="F100" s="10"/>
      <c r="G100" s="10"/>
      <c r="H100" s="10"/>
      <c r="I100" s="10"/>
      <c r="J100" s="10"/>
    </row>
    <row r="101" spans="2:15" x14ac:dyDescent="0.25">
      <c r="E101" s="10"/>
      <c r="F101" s="10"/>
      <c r="G101" s="10"/>
      <c r="H101" s="10"/>
      <c r="I101" s="10"/>
      <c r="J101" s="10"/>
      <c r="K101" s="16"/>
    </row>
    <row r="106" spans="2:15" x14ac:dyDescent="0.25">
      <c r="M106" s="18"/>
      <c r="N106" s="18"/>
      <c r="O106" s="18"/>
    </row>
    <row r="107" spans="2:15" x14ac:dyDescent="0.25">
      <c r="M107" s="18"/>
      <c r="N107" s="18"/>
      <c r="O107" s="18"/>
    </row>
    <row r="108" spans="2:15" x14ac:dyDescent="0.25">
      <c r="C108" s="11"/>
      <c r="D108" s="11"/>
      <c r="E108" s="11"/>
      <c r="F108" s="11"/>
      <c r="G108" s="11"/>
      <c r="M108" s="18"/>
      <c r="N108" s="18"/>
      <c r="O108" s="18"/>
    </row>
    <row r="109" spans="2:15" x14ac:dyDescent="0.25">
      <c r="D109" s="56"/>
      <c r="E109" s="56"/>
      <c r="F109" s="56"/>
      <c r="G109" s="56"/>
      <c r="M109" s="18"/>
      <c r="N109" s="18"/>
      <c r="O109" s="18"/>
    </row>
    <row r="110" spans="2:15" x14ac:dyDescent="0.25">
      <c r="B110" s="58"/>
      <c r="D110" s="59"/>
      <c r="E110" s="59"/>
      <c r="F110" s="59"/>
      <c r="G110" s="59"/>
      <c r="M110" s="18"/>
      <c r="N110" s="18"/>
      <c r="O110" s="18"/>
    </row>
    <row r="111" spans="2:15" x14ac:dyDescent="0.25">
      <c r="C111" s="55"/>
      <c r="D111" s="57"/>
      <c r="E111" s="57"/>
      <c r="F111" s="57"/>
      <c r="G111" s="57"/>
      <c r="M111" s="18"/>
      <c r="N111" s="18"/>
      <c r="O111" s="18"/>
    </row>
    <row r="112" spans="2:15" x14ac:dyDescent="0.25">
      <c r="B112" s="58"/>
      <c r="D112" s="59"/>
      <c r="E112" s="59"/>
      <c r="F112" s="59"/>
      <c r="G112" s="59"/>
      <c r="M112" s="18"/>
      <c r="N112" s="18"/>
      <c r="O112" s="18"/>
    </row>
    <row r="113" spans="2:15" x14ac:dyDescent="0.25">
      <c r="C113" s="10"/>
      <c r="D113" s="10"/>
      <c r="E113" s="10"/>
      <c r="F113" s="10"/>
      <c r="G113" s="10"/>
      <c r="M113" s="18"/>
      <c r="N113" s="18"/>
      <c r="O113" s="18"/>
    </row>
    <row r="114" spans="2:15" x14ac:dyDescent="0.25">
      <c r="M114" s="18"/>
      <c r="N114" s="18"/>
      <c r="O114" s="18"/>
    </row>
    <row r="115" spans="2:15" x14ac:dyDescent="0.25">
      <c r="C115" s="10"/>
      <c r="D115" s="10"/>
      <c r="E115" s="10"/>
      <c r="F115" s="10"/>
      <c r="G115" s="10"/>
      <c r="M115" s="18"/>
      <c r="N115" s="18"/>
      <c r="O115" s="18"/>
    </row>
    <row r="116" spans="2:15" x14ac:dyDescent="0.25">
      <c r="D116" s="10"/>
      <c r="M116" s="18"/>
      <c r="N116" s="18"/>
      <c r="O116" s="18"/>
    </row>
    <row r="117" spans="2:15" x14ac:dyDescent="0.25">
      <c r="C117" s="10"/>
      <c r="D117" s="10"/>
      <c r="E117" s="10"/>
      <c r="F117" s="10"/>
      <c r="G117" s="10"/>
      <c r="N117" s="18"/>
      <c r="O117" s="18"/>
    </row>
    <row r="118" spans="2:15" x14ac:dyDescent="0.25">
      <c r="C118" s="11"/>
      <c r="D118" s="11"/>
      <c r="E118" s="11"/>
      <c r="F118" s="11"/>
      <c r="G118" s="11"/>
      <c r="N118" s="18"/>
      <c r="O118" s="18"/>
    </row>
    <row r="119" spans="2:15" x14ac:dyDescent="0.25">
      <c r="M119" s="18"/>
      <c r="N119" s="18"/>
      <c r="O119" s="18"/>
    </row>
    <row r="120" spans="2:15" x14ac:dyDescent="0.25"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/>
      <c r="N120" s="18"/>
      <c r="O120" s="18"/>
    </row>
    <row r="121" spans="2:15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x14ac:dyDescent="0.25">
      <c r="B122" s="17"/>
      <c r="C122" s="34"/>
      <c r="D122" s="34"/>
      <c r="E122" s="34"/>
      <c r="F122" s="34"/>
      <c r="G122" s="34"/>
      <c r="H122" s="17"/>
      <c r="I122" s="17"/>
      <c r="J122" s="18"/>
      <c r="K122" s="18"/>
      <c r="L122" s="18"/>
      <c r="M122" s="18"/>
      <c r="N122" s="18"/>
      <c r="O122" s="18"/>
    </row>
    <row r="123" spans="2:15" x14ac:dyDescent="0.25">
      <c r="B123" s="18"/>
      <c r="C123" s="18"/>
      <c r="D123" s="30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15" x14ac:dyDescent="0.25">
      <c r="B126" s="17"/>
      <c r="D126" s="18"/>
      <c r="E126" s="35"/>
      <c r="F126" s="35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15" x14ac:dyDescent="0.25">
      <c r="B127" s="17"/>
      <c r="C127" s="36"/>
      <c r="D127" s="17"/>
      <c r="E127" s="29"/>
      <c r="F127" s="29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15" x14ac:dyDescent="0.25">
      <c r="B128" s="17"/>
      <c r="C128" s="25"/>
      <c r="D128" s="11"/>
      <c r="E128" s="11"/>
      <c r="F128" s="60"/>
      <c r="G128" s="11"/>
      <c r="I128" s="11"/>
      <c r="K128" s="18"/>
      <c r="L128" s="18"/>
      <c r="M128" s="18"/>
      <c r="N128" s="18"/>
      <c r="O128" s="18"/>
    </row>
    <row r="129" spans="2:15" x14ac:dyDescent="0.25">
      <c r="B129" s="17"/>
      <c r="C129" s="25"/>
      <c r="D129" s="11"/>
      <c r="E129" s="56"/>
      <c r="F129" s="59"/>
      <c r="G129" s="56"/>
      <c r="H129" s="34"/>
      <c r="I129" s="56"/>
      <c r="K129" s="18"/>
      <c r="L129" s="18"/>
      <c r="M129" s="18"/>
      <c r="N129" s="18"/>
      <c r="O129" s="18"/>
    </row>
    <row r="130" spans="2:15" x14ac:dyDescent="0.25">
      <c r="B130" s="17"/>
      <c r="C130" s="25"/>
      <c r="D130" s="11"/>
      <c r="E130" s="18"/>
      <c r="F130" s="60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25"/>
      <c r="D131" s="11"/>
      <c r="E131" s="18"/>
      <c r="F131" s="60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25"/>
      <c r="D132" s="11"/>
      <c r="E132" s="18"/>
      <c r="F132" s="60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2"/>
      <c r="D133" s="18"/>
      <c r="E133" s="29"/>
      <c r="F133" s="29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2"/>
      <c r="D134" s="29"/>
      <c r="E134" s="29"/>
      <c r="F134" s="29"/>
      <c r="G134" s="18"/>
    </row>
    <row r="136" spans="2:15" x14ac:dyDescent="0.25">
      <c r="D136" s="10"/>
      <c r="E136" s="10"/>
      <c r="F136" s="10"/>
    </row>
    <row r="137" spans="2:15" x14ac:dyDescent="0.25">
      <c r="G137" s="25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5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5"/>
    </row>
    <row r="145" spans="1:9" x14ac:dyDescent="0.25">
      <c r="C145" s="22"/>
      <c r="D145" s="10"/>
      <c r="E145" s="10"/>
    </row>
    <row r="147" spans="1:9" x14ac:dyDescent="0.25">
      <c r="A147" s="14"/>
      <c r="I147" s="33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1">
    <mergeCell ref="AE16:AE18"/>
  </mergeCells>
  <phoneticPr fontId="8" type="noConversion"/>
  <pageMargins left="0.70866141732283472" right="0.70866141732283472" top="0.78740157480314965" bottom="0.78740157480314965" header="0.31496062992125984" footer="0.31496062992125984"/>
  <pageSetup paperSize="9" scale="48" orientation="landscape" verticalDpi="0" r:id="rId1"/>
  <headerFooter>
    <oddHeader>&amp;L&amp;F</oddHeader>
  </headerFooter>
  <rowBreaks count="2" manualBreakCount="2">
    <brk id="35" max="30" man="1"/>
    <brk id="81" max="30" man="1"/>
  </rowBreaks>
  <colBreaks count="1" manualBreakCount="1">
    <brk id="22" max="1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86" t="s">
        <v>17</v>
      </c>
      <c r="F7" s="87"/>
      <c r="G7" s="86" t="s">
        <v>16</v>
      </c>
      <c r="H7" s="87"/>
      <c r="I7" s="88" t="s">
        <v>18</v>
      </c>
      <c r="J7" s="89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2026-02-04T14:06:01Z</cp:lastPrinted>
  <dcterms:created xsi:type="dcterms:W3CDTF">2024-02-29T11:10:18Z</dcterms:created>
  <dcterms:modified xsi:type="dcterms:W3CDTF">2026-02-05T11:43:08Z</dcterms:modified>
</cp:coreProperties>
</file>