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onrad\Desktop\Eigene Dateien\PROTOKOLLE\Bindungsassays\IDH\SEPHADEX_Size Exclusion_Brandel_Experimente\AG-120\"/>
    </mc:Choice>
  </mc:AlternateContent>
  <xr:revisionPtr revIDLastSave="0" documentId="13_ncr:1_{271A7178-AC07-4523-A6B3-7C03192DC226}" xr6:coauthVersionLast="47" xr6:coauthVersionMax="47" xr10:uidLastSave="{00000000-0000-0000-0000-000000000000}"/>
  <bookViews>
    <workbookView xWindow="2355" yWindow="825" windowWidth="25875" windowHeight="13140" xr2:uid="{00000000-000D-0000-FFFF-FFFF00000000}"/>
  </bookViews>
  <sheets>
    <sheet name="Tabelle1" sheetId="1" r:id="rId1"/>
    <sheet name="Tabelle2" sheetId="2" r:id="rId2"/>
  </sheets>
  <externalReferences>
    <externalReference r:id="rId3"/>
  </externalReferences>
  <definedNames>
    <definedName name="_xlnm.Print_Area" localSheetId="0">Tabelle1!$A$1:$BG$111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U31" i="1" l="1"/>
  <c r="AT31" i="1"/>
  <c r="AS31" i="1"/>
  <c r="AR31" i="1"/>
  <c r="AQ31" i="1"/>
  <c r="AP31" i="1"/>
  <c r="F99" i="1"/>
  <c r="G99" i="1"/>
  <c r="H99" i="1"/>
  <c r="I99" i="1"/>
  <c r="J99" i="1"/>
  <c r="E99" i="1"/>
  <c r="AB75" i="1"/>
  <c r="AC75" i="1"/>
  <c r="AD75" i="1"/>
  <c r="AE75" i="1"/>
  <c r="AF75" i="1"/>
  <c r="AB76" i="1"/>
  <c r="AC76" i="1"/>
  <c r="AD76" i="1"/>
  <c r="AE76" i="1"/>
  <c r="AF76" i="1"/>
  <c r="AB77" i="1"/>
  <c r="AC77" i="1"/>
  <c r="AD77" i="1"/>
  <c r="AE77" i="1"/>
  <c r="AF77" i="1"/>
  <c r="AC78" i="1"/>
  <c r="AD78" i="1"/>
  <c r="AE78" i="1"/>
  <c r="AF78" i="1"/>
  <c r="AB79" i="1"/>
  <c r="AC79" i="1"/>
  <c r="AD79" i="1"/>
  <c r="AE79" i="1"/>
  <c r="AF79" i="1"/>
  <c r="AB80" i="1"/>
  <c r="AC80" i="1"/>
  <c r="AD80" i="1"/>
  <c r="AE80" i="1"/>
  <c r="AF80" i="1"/>
  <c r="AB81" i="1"/>
  <c r="AC81" i="1"/>
  <c r="AD81" i="1"/>
  <c r="AE81" i="1"/>
  <c r="AF81" i="1"/>
  <c r="AB82" i="1"/>
  <c r="AC82" i="1"/>
  <c r="AD82" i="1"/>
  <c r="AE82" i="1"/>
  <c r="AF82" i="1"/>
  <c r="AB83" i="1"/>
  <c r="AC83" i="1"/>
  <c r="AD83" i="1"/>
  <c r="AE83" i="1"/>
  <c r="AF83" i="1"/>
  <c r="AB84" i="1"/>
  <c r="AC84" i="1"/>
  <c r="AD84" i="1"/>
  <c r="AE84" i="1"/>
  <c r="AF84" i="1"/>
  <c r="AB85" i="1"/>
  <c r="AC85" i="1"/>
  <c r="AD85" i="1"/>
  <c r="AE85" i="1"/>
  <c r="AF85" i="1"/>
  <c r="AB86" i="1"/>
  <c r="AC86" i="1"/>
  <c r="AD86" i="1"/>
  <c r="AE86" i="1"/>
  <c r="AF86" i="1"/>
  <c r="AB87" i="1"/>
  <c r="AC87" i="1"/>
  <c r="AD87" i="1"/>
  <c r="AE87" i="1"/>
  <c r="AF87" i="1"/>
  <c r="AB88" i="1"/>
  <c r="AC88" i="1"/>
  <c r="AD88" i="1"/>
  <c r="AE88" i="1"/>
  <c r="AF88" i="1"/>
  <c r="AB89" i="1"/>
  <c r="AC89" i="1"/>
  <c r="AD89" i="1"/>
  <c r="AE89" i="1"/>
  <c r="AF89" i="1"/>
  <c r="AA76" i="1"/>
  <c r="AA78" i="1"/>
  <c r="AA79" i="1"/>
  <c r="AA80" i="1"/>
  <c r="AA81" i="1"/>
  <c r="AA82" i="1"/>
  <c r="AA83" i="1"/>
  <c r="AA84" i="1"/>
  <c r="AA85" i="1"/>
  <c r="AA86" i="1"/>
  <c r="AA87" i="1"/>
  <c r="AA88" i="1"/>
  <c r="AA89" i="1"/>
  <c r="AE65" i="1"/>
  <c r="AC65" i="1"/>
  <c r="AB65" i="1"/>
  <c r="AE64" i="1"/>
  <c r="AC64" i="1"/>
  <c r="AB64" i="1"/>
  <c r="AC63" i="1"/>
  <c r="AE63" i="1" s="1"/>
  <c r="AB63" i="1"/>
  <c r="AE62" i="1"/>
  <c r="AC62" i="1"/>
  <c r="AB62" i="1"/>
  <c r="AC61" i="1"/>
  <c r="AE61" i="1" s="1"/>
  <c r="AB61" i="1"/>
  <c r="AC60" i="1"/>
  <c r="AE60" i="1" s="1"/>
  <c r="AB60" i="1"/>
  <c r="AC59" i="1"/>
  <c r="AE59" i="1" s="1"/>
  <c r="AB59" i="1"/>
  <c r="W59" i="1"/>
  <c r="W65" i="1" s="1"/>
  <c r="AC58" i="1"/>
  <c r="AE58" i="1" s="1"/>
  <c r="AB58" i="1"/>
  <c r="AC57" i="1"/>
  <c r="AE57" i="1" s="1"/>
  <c r="AB57" i="1"/>
  <c r="AC56" i="1"/>
  <c r="AE56" i="1" s="1"/>
  <c r="AB56" i="1"/>
  <c r="W56" i="1"/>
  <c r="W62" i="1" s="1"/>
  <c r="AC55" i="1"/>
  <c r="AE55" i="1" s="1"/>
  <c r="AB55" i="1"/>
  <c r="AE54" i="1"/>
  <c r="AC54" i="1"/>
  <c r="AB54" i="1"/>
  <c r="AC53" i="1"/>
  <c r="AE53" i="1" s="1"/>
  <c r="AB53" i="1"/>
  <c r="AE52" i="1"/>
  <c r="AC52" i="1"/>
  <c r="AB52" i="1"/>
  <c r="W52" i="1"/>
  <c r="AE51" i="1"/>
  <c r="AC51" i="1"/>
  <c r="AB51" i="1"/>
  <c r="AC50" i="1"/>
  <c r="AE50" i="1" s="1"/>
  <c r="AB50" i="1"/>
  <c r="AE49" i="1"/>
  <c r="AC49" i="1"/>
  <c r="AB49" i="1"/>
  <c r="W49" i="1"/>
  <c r="AE48" i="1"/>
  <c r="AF47" i="1" s="1"/>
  <c r="AC48" i="1"/>
  <c r="AB48" i="1"/>
  <c r="AC47" i="1"/>
  <c r="AE47" i="1" s="1"/>
  <c r="AB47" i="1"/>
  <c r="AC46" i="1"/>
  <c r="AE46" i="1" s="1"/>
  <c r="AB46" i="1"/>
  <c r="W46" i="1"/>
  <c r="W53" i="1" s="1"/>
  <c r="W60" i="1" s="1"/>
  <c r="AC45" i="1"/>
  <c r="AE45" i="1" s="1"/>
  <c r="AB45" i="1"/>
  <c r="W45" i="1"/>
  <c r="AC44" i="1"/>
  <c r="AE44" i="1" s="1"/>
  <c r="AB44" i="1"/>
  <c r="W44" i="1"/>
  <c r="W51" i="1" s="1"/>
  <c r="W58" i="1" s="1"/>
  <c r="W64" i="1" s="1"/>
  <c r="AC43" i="1"/>
  <c r="AE43" i="1" s="1"/>
  <c r="AB43" i="1"/>
  <c r="W43" i="1"/>
  <c r="W50" i="1" s="1"/>
  <c r="W57" i="1" s="1"/>
  <c r="W63" i="1" s="1"/>
  <c r="AC42" i="1"/>
  <c r="AE42" i="1" s="1"/>
  <c r="AB42" i="1"/>
  <c r="W42" i="1"/>
  <c r="AC41" i="1"/>
  <c r="AE41" i="1" s="1"/>
  <c r="AB41" i="1"/>
  <c r="W41" i="1"/>
  <c r="W48" i="1" s="1"/>
  <c r="W55" i="1" s="1"/>
  <c r="W61" i="1" s="1"/>
  <c r="AC40" i="1"/>
  <c r="AE40" i="1" s="1"/>
  <c r="AB40" i="1"/>
  <c r="AE39" i="1"/>
  <c r="AC39" i="1"/>
  <c r="AB39" i="1"/>
  <c r="W39" i="1"/>
  <c r="AE38" i="1"/>
  <c r="AC38" i="1"/>
  <c r="AB38" i="1"/>
  <c r="W38" i="1"/>
  <c r="AC37" i="1"/>
  <c r="AE37" i="1" s="1"/>
  <c r="AB37" i="1"/>
  <c r="W37" i="1"/>
  <c r="AE36" i="1"/>
  <c r="AC36" i="1"/>
  <c r="AB36" i="1"/>
  <c r="W36" i="1"/>
  <c r="AE35" i="1"/>
  <c r="AC35" i="1"/>
  <c r="AB35" i="1"/>
  <c r="W35" i="1"/>
  <c r="AC34" i="1"/>
  <c r="AE34" i="1" s="1"/>
  <c r="AB34" i="1"/>
  <c r="W34" i="1"/>
  <c r="AC33" i="1"/>
  <c r="AE33" i="1" s="1"/>
  <c r="AB33" i="1"/>
  <c r="W33" i="1"/>
  <c r="W40" i="1" s="1"/>
  <c r="W47" i="1" s="1"/>
  <c r="W54" i="1" s="1"/>
  <c r="AC32" i="1"/>
  <c r="AE32" i="1" s="1"/>
  <c r="AB32" i="1"/>
  <c r="AC31" i="1"/>
  <c r="AE31" i="1" s="1"/>
  <c r="AB31" i="1"/>
  <c r="AC30" i="1"/>
  <c r="AE30" i="1" s="1"/>
  <c r="AB30" i="1"/>
  <c r="AC29" i="1"/>
  <c r="AE29" i="1" s="1"/>
  <c r="AB29" i="1"/>
  <c r="AC28" i="1"/>
  <c r="AE28" i="1" s="1"/>
  <c r="AB28" i="1"/>
  <c r="AC27" i="1"/>
  <c r="AE27" i="1" s="1"/>
  <c r="AF26" i="1" s="1"/>
  <c r="AB27" i="1"/>
  <c r="AC26" i="1"/>
  <c r="AE26" i="1" s="1"/>
  <c r="AB26" i="1"/>
  <c r="AC25" i="1"/>
  <c r="AB25" i="1"/>
  <c r="AC24" i="1"/>
  <c r="AB24" i="1"/>
  <c r="AC23" i="1"/>
  <c r="AB23" i="1"/>
  <c r="AC22" i="1"/>
  <c r="AD22" i="1" s="1"/>
  <c r="AB22" i="1"/>
  <c r="AC21" i="1"/>
  <c r="AD21" i="1" s="1"/>
  <c r="AB21" i="1"/>
  <c r="AC20" i="1"/>
  <c r="AD20" i="1" s="1"/>
  <c r="AB20" i="1"/>
  <c r="AC19" i="1"/>
  <c r="AD19" i="1" s="1"/>
  <c r="AB19" i="1"/>
  <c r="Y13" i="1"/>
  <c r="Y12" i="1"/>
  <c r="Y11" i="1"/>
  <c r="Y10" i="1"/>
  <c r="Y9" i="1"/>
  <c r="Y8" i="1"/>
  <c r="Y7" i="1"/>
  <c r="Y6" i="1"/>
  <c r="Y5" i="1"/>
  <c r="S75" i="1"/>
  <c r="AJ26" i="1" l="1"/>
  <c r="AF54" i="1"/>
  <c r="AF33" i="1"/>
  <c r="AJ25" i="1" s="1"/>
  <c r="AF40" i="1"/>
  <c r="AF61" i="1"/>
  <c r="T74" i="1" l="1"/>
  <c r="U74" i="1"/>
  <c r="AB74" i="1" s="1"/>
  <c r="AI74" i="1" s="1"/>
  <c r="V74" i="1"/>
  <c r="AC74" i="1" s="1"/>
  <c r="W74" i="1"/>
  <c r="AD74" i="1" s="1"/>
  <c r="X74" i="1"/>
  <c r="AE74" i="1" s="1"/>
  <c r="Y74" i="1"/>
  <c r="AA74" i="1"/>
  <c r="AF74" i="1"/>
  <c r="AH74" i="1"/>
  <c r="AA75" i="1"/>
  <c r="S76" i="1"/>
  <c r="S77" i="1"/>
  <c r="S78" i="1" s="1"/>
  <c r="S79" i="1" s="1"/>
  <c r="AT14" i="1" l="1"/>
  <c r="AU14" i="1"/>
  <c r="F97" i="1"/>
  <c r="G97" i="1"/>
  <c r="H97" i="1"/>
  <c r="I97" i="1"/>
  <c r="J97" i="1"/>
  <c r="E97" i="1"/>
  <c r="E20" i="1"/>
  <c r="AO14" i="1"/>
  <c r="AQ14" i="1"/>
  <c r="AS14" i="1"/>
  <c r="K37" i="1"/>
  <c r="H38" i="1" s="1"/>
  <c r="K38" i="1" s="1"/>
  <c r="H39" i="1" s="1"/>
  <c r="K39" i="1" s="1"/>
  <c r="H40" i="1" s="1"/>
  <c r="K40" i="1" s="1"/>
  <c r="H41" i="1" s="1"/>
  <c r="K41" i="1" s="1"/>
  <c r="K32" i="1"/>
  <c r="H33" i="1" s="1"/>
  <c r="K33" i="1" s="1"/>
  <c r="M33" i="1" s="1"/>
  <c r="F32" i="1"/>
  <c r="G100" i="1" l="1"/>
  <c r="J100" i="1"/>
  <c r="F100" i="1"/>
  <c r="AR14" i="1"/>
  <c r="AP14" i="1"/>
  <c r="I100" i="1"/>
  <c r="H100" i="1"/>
  <c r="M38" i="1"/>
  <c r="AQ32" i="1"/>
  <c r="AR32" i="1"/>
  <c r="AU32" i="1"/>
  <c r="AT32" i="1"/>
  <c r="AS32" i="1"/>
  <c r="AM74" i="1"/>
  <c r="AU6" i="1" s="1"/>
  <c r="AQ6" i="1"/>
  <c r="AJ74" i="1"/>
  <c r="AR6" i="1" s="1"/>
  <c r="AK74" i="1"/>
  <c r="AS6" i="1" s="1"/>
  <c r="AL74" i="1"/>
  <c r="AT6" i="1" s="1"/>
  <c r="AP6" i="1"/>
  <c r="F96" i="1" l="1"/>
  <c r="G96" i="1"/>
  <c r="H96" i="1"/>
  <c r="I96" i="1"/>
  <c r="J96" i="1"/>
  <c r="M41" i="1"/>
  <c r="M40" i="1"/>
  <c r="M26" i="1"/>
  <c r="AU8" i="1" l="1"/>
  <c r="AT8" i="1"/>
  <c r="AP32" i="1"/>
  <c r="S80" i="1" l="1"/>
  <c r="S81" i="1" s="1"/>
  <c r="S82" i="1" s="1"/>
  <c r="S83" i="1" s="1"/>
  <c r="S84" i="1" s="1"/>
  <c r="S85" i="1" s="1"/>
  <c r="S86" i="1" s="1"/>
  <c r="S87" i="1" s="1"/>
  <c r="S88" i="1" s="1"/>
  <c r="S89" i="1" s="1"/>
  <c r="M24" i="1" l="1"/>
  <c r="M39" i="1" l="1"/>
  <c r="C71" i="1"/>
  <c r="C72" i="1" s="1"/>
  <c r="C73" i="1" s="1"/>
  <c r="C74" i="1" s="1"/>
  <c r="C75" i="1" s="1"/>
  <c r="C76" i="1" s="1"/>
  <c r="C77" i="1" s="1"/>
  <c r="C78" i="1" s="1"/>
  <c r="C79" i="1" s="1"/>
  <c r="C80" i="1" s="1"/>
  <c r="C81" i="1" s="1"/>
  <c r="C82" i="1" s="1"/>
  <c r="C83" i="1" s="1"/>
  <c r="C84" i="1" s="1"/>
  <c r="AS8" i="1" l="1"/>
  <c r="AR8" i="1"/>
  <c r="E100" i="1"/>
  <c r="E96" i="1" l="1"/>
  <c r="J18" i="1" l="1"/>
  <c r="E21" i="1" l="1"/>
  <c r="H55" i="1" s="1"/>
  <c r="C25" i="1" l="1"/>
  <c r="O24" i="1"/>
  <c r="AU7" i="1" l="1"/>
  <c r="AU10" i="1" s="1"/>
  <c r="AT7" i="1"/>
  <c r="AT10" i="1" s="1"/>
  <c r="AP7" i="1"/>
  <c r="AP10" i="1" s="1"/>
  <c r="AR7" i="1"/>
  <c r="AR10" i="1" s="1"/>
  <c r="AS21" i="1" s="1"/>
  <c r="AP39" i="1" s="1"/>
  <c r="AS7" i="1"/>
  <c r="AS10" i="1" s="1"/>
  <c r="AQ7" i="1"/>
  <c r="AQ10" i="1" s="1"/>
  <c r="M25" i="1"/>
  <c r="N27" i="1" s="1"/>
  <c r="P24" i="1"/>
  <c r="AS11" i="1" l="1"/>
  <c r="AS22" i="1"/>
  <c r="AP40" i="1" s="1"/>
  <c r="AT11" i="1"/>
  <c r="AS23" i="1"/>
  <c r="AP41" i="1" s="1"/>
  <c r="AU11" i="1"/>
  <c r="AS24" i="1"/>
  <c r="AP42" i="1" s="1"/>
  <c r="AS20" i="1"/>
  <c r="AP38" i="1" s="1"/>
  <c r="AP11" i="1"/>
  <c r="AR11" i="1"/>
  <c r="AQ11" i="1"/>
  <c r="N28" i="1"/>
  <c r="AJ85" i="1" l="1"/>
  <c r="AH84" i="1"/>
  <c r="AJ84" i="1"/>
  <c r="AK85" i="1"/>
  <c r="AL86" i="1"/>
  <c r="AM87" i="1"/>
  <c r="AH85" i="1"/>
  <c r="AI83" i="1"/>
  <c r="AK84" i="1"/>
  <c r="AL85" i="1"/>
  <c r="AM86" i="1"/>
  <c r="AI88" i="1"/>
  <c r="AH86" i="1"/>
  <c r="AI82" i="1"/>
  <c r="AJ83" i="1"/>
  <c r="AL84" i="1"/>
  <c r="AM85" i="1"/>
  <c r="AI87" i="1"/>
  <c r="AJ88" i="1"/>
  <c r="AH87" i="1"/>
  <c r="AK83" i="1"/>
  <c r="AM84" i="1"/>
  <c r="AI86" i="1"/>
  <c r="AJ87" i="1"/>
  <c r="AH88" i="1"/>
  <c r="AI85" i="1"/>
  <c r="AK87" i="1"/>
  <c r="AK86" i="1"/>
  <c r="AM88" i="1"/>
  <c r="AL83" i="1"/>
  <c r="AJ86" i="1"/>
  <c r="AL88" i="1"/>
  <c r="AH83" i="1"/>
  <c r="AL87" i="1"/>
  <c r="AU15" i="1"/>
  <c r="AU17" i="1" s="1"/>
  <c r="AT24" i="1" s="1"/>
  <c r="AT15" i="1"/>
  <c r="AT17" i="1" s="1"/>
  <c r="AT23" i="1" s="1"/>
  <c r="AQ15" i="1"/>
  <c r="AQ17" i="1" s="1"/>
  <c r="AR15" i="1"/>
  <c r="AS15" i="1"/>
  <c r="AP15" i="1"/>
  <c r="AP17" i="1" s="1"/>
  <c r="AT20" i="1" s="1"/>
  <c r="AQ27" i="1" l="1"/>
  <c r="AQ28" i="1" s="1"/>
  <c r="AQ34" i="1" s="1"/>
  <c r="AI84" i="1"/>
  <c r="AH82" i="1"/>
  <c r="AP27" i="1"/>
  <c r="AP28" i="1" s="1"/>
  <c r="AP34" i="1" s="1"/>
  <c r="AQ38" i="1" s="1"/>
  <c r="AJ82" i="1"/>
  <c r="AR27" i="1"/>
  <c r="AR28" i="1" s="1"/>
  <c r="AR34" i="1" s="1"/>
  <c r="AQ39" i="1" s="1"/>
  <c r="AL82" i="1"/>
  <c r="AT27" i="1"/>
  <c r="AT28" i="1" s="1"/>
  <c r="AT34" i="1" s="1"/>
  <c r="AQ41" i="1" s="1"/>
  <c r="AS27" i="1"/>
  <c r="AS28" i="1" s="1"/>
  <c r="AS34" i="1" s="1"/>
  <c r="AQ40" i="1" s="1"/>
  <c r="AK82" i="1"/>
  <c r="AU27" i="1"/>
  <c r="AU28" i="1" s="1"/>
  <c r="AU34" i="1" s="1"/>
  <c r="AQ42" i="1" s="1"/>
  <c r="AM82" i="1"/>
  <c r="AS17" i="1"/>
  <c r="AT22" i="1" s="1"/>
  <c r="AR17" i="1"/>
  <c r="AT21" i="1" s="1"/>
</calcChain>
</file>

<file path=xl/sharedStrings.xml><?xml version="1.0" encoding="utf-8"?>
<sst xmlns="http://schemas.openxmlformats.org/spreadsheetml/2006/main" count="176" uniqueCount="140">
  <si>
    <t>R132H-U251</t>
  </si>
  <si>
    <t>Mio</t>
  </si>
  <si>
    <t>=</t>
  </si>
  <si>
    <t>µl</t>
  </si>
  <si>
    <t>% of mean</t>
  </si>
  <si>
    <t>CPM</t>
  </si>
  <si>
    <t>CPM/MBq</t>
  </si>
  <si>
    <t>TB</t>
  </si>
  <si>
    <t>sd</t>
  </si>
  <si>
    <t>AM</t>
  </si>
  <si>
    <t>GBq/µmol</t>
  </si>
  <si>
    <t>M</t>
  </si>
  <si>
    <t>MBq/ml</t>
  </si>
  <si>
    <t>IDH1-U251</t>
  </si>
  <si>
    <t>+ 1 µM BAY</t>
  </si>
  <si>
    <t>+ 1 µM AG120</t>
  </si>
  <si>
    <t>CENTRIFUGATION_Supernatant</t>
  </si>
  <si>
    <t>CENTRIFUGATION_Pellet</t>
  </si>
  <si>
    <t>BRANDEL (with pellet only)</t>
  </si>
  <si>
    <t>E</t>
  </si>
  <si>
    <t>MBq/nmol</t>
  </si>
  <si>
    <t>MBq (theoret.)</t>
  </si>
  <si>
    <t>mol</t>
  </si>
  <si>
    <t>mol/CPM</t>
  </si>
  <si>
    <t>original</t>
  </si>
  <si>
    <t>working solution</t>
  </si>
  <si>
    <t>standard</t>
  </si>
  <si>
    <t>gamma counter (CPM)</t>
  </si>
  <si>
    <t>volume in total (ml)</t>
  </si>
  <si>
    <t>SEC approach (via Sephadex G-25, Gravity)</t>
  </si>
  <si>
    <t>+ 10</t>
  </si>
  <si>
    <t>Eluate</t>
  </si>
  <si>
    <t>E1</t>
  </si>
  <si>
    <t>Barbara Wenzel</t>
  </si>
  <si>
    <t>Sephadex syringes</t>
  </si>
  <si>
    <t>(in 50 mM TRIS-HCl, pH 7.4/4°C)</t>
  </si>
  <si>
    <t>BAY-1436032</t>
  </si>
  <si>
    <t>MW=489,53</t>
  </si>
  <si>
    <t>10x stock</t>
  </si>
  <si>
    <t>Hycultec</t>
  </si>
  <si>
    <t>in % TB</t>
  </si>
  <si>
    <t>BAY</t>
  </si>
  <si>
    <t>final concentration</t>
  </si>
  <si>
    <t xml:space="preserve">E1-E20, syringes, standards -&gt; gamma-counting </t>
  </si>
  <si>
    <t>samples taken from working solution at ~ 11 AM</t>
  </si>
  <si>
    <t>mean (11  AM)</t>
  </si>
  <si>
    <t>-&gt;</t>
  </si>
  <si>
    <t>calculation total inhibitor concentration</t>
  </si>
  <si>
    <t>total</t>
  </si>
  <si>
    <t>correction factor</t>
  </si>
  <si>
    <t xml:space="preserve">corrected </t>
  </si>
  <si>
    <t>µg protein</t>
  </si>
  <si>
    <t>mol/mg protein</t>
  </si>
  <si>
    <t>mg protein</t>
  </si>
  <si>
    <t>corrected</t>
  </si>
  <si>
    <t xml:space="preserve">bound in mol/mg protein </t>
  </si>
  <si>
    <t>MBq (10:45; Lab. 254)</t>
  </si>
  <si>
    <t>Sum Activity E8-E13</t>
  </si>
  <si>
    <t>E2-E15</t>
  </si>
  <si>
    <t>Elution with 0.2 ml Na-phosphatpuffer</t>
  </si>
  <si>
    <t>protein concentration (µg/fraction)</t>
  </si>
  <si>
    <t>in assay</t>
  </si>
  <si>
    <t>- 15.000 rpm (rcf), 25`, 4°C</t>
  </si>
  <si>
    <t>- store on ice until incubation with 18F (s.u.), rest stored in freezer in lab. 252</t>
  </si>
  <si>
    <t>0,05 M Na-phosphatpuffer + 150 mM NaCl, pH 7.0 (Tina Spalholz,28.3.25)</t>
  </si>
  <si>
    <t>Sephadex-buffer (P-Puffer)</t>
  </si>
  <si>
    <t>18F-AG120</t>
  </si>
  <si>
    <t>25.06.: 0,46 mg + 94 µl DMSO = 10-2 M</t>
  </si>
  <si>
    <t>AG120</t>
  </si>
  <si>
    <t>stock solution 10-2 M in DMSO (prep. Sladjana</t>
  </si>
  <si>
    <t>100+900</t>
  </si>
  <si>
    <t>AG-1</t>
  </si>
  <si>
    <t>AG-2</t>
  </si>
  <si>
    <t>AG-3</t>
  </si>
  <si>
    <t>AG-4</t>
  </si>
  <si>
    <t xml:space="preserve">10x comp-stock (10-5, 10-6, 10-7, 10-8 M) </t>
  </si>
  <si>
    <r>
      <rPr>
        <u/>
        <sz val="11"/>
        <color theme="1"/>
        <rFont val="Calibri"/>
        <family val="2"/>
        <scheme val="minor"/>
      </rPr>
      <t>100</t>
    </r>
    <r>
      <rPr>
        <sz val="11"/>
        <color theme="1"/>
        <rFont val="Calibri"/>
        <family val="2"/>
        <scheme val="minor"/>
      </rPr>
      <t xml:space="preserve"> µl sample je  G-25 syringe</t>
    </r>
  </si>
  <si>
    <t>0.1 ml sample</t>
  </si>
  <si>
    <t>CPM, AG-4</t>
  </si>
  <si>
    <t>activity remaining on eluted syringe</t>
  </si>
  <si>
    <t>sum</t>
  </si>
  <si>
    <t>mol AG-120 eluted</t>
  </si>
  <si>
    <t>mol AG120/mg protein</t>
  </si>
  <si>
    <t>in % added (= Bilanz bzgl. Dosis)</t>
  </si>
  <si>
    <t>AG120 total (nM)</t>
  </si>
  <si>
    <t>Sum Protein E8-E13</t>
  </si>
  <si>
    <t>AG120 total, in nM</t>
  </si>
  <si>
    <t>(-&gt; 1 µl SEC working solution = 1,34E-14 mol)</t>
  </si>
  <si>
    <t>9.12: G25-slurry (aufgearbeitet in 0.2 N NaoH -&gt; stored in 20 % EtOH-H2O in fridge -&gt; dekantieren -&gt;  Na-Phosphatpuffer -&gt; taumler -&gt; absetzen, dekantieren -&gt; +  P-Puffer ad 300 ml -&gt; r.t. bis 10.12.</t>
  </si>
  <si>
    <t>10.12.: dekantieren -&gt; + P-Puffer  -&gt; aufwirbeln -&gt; 6 ml/geschlossene 5 ml-Spritze (Füllhöhe ~ 3.8-3.9 ml)</t>
  </si>
  <si>
    <t>75 µl original + 6 ml 50 mM P-Puffer</t>
  </si>
  <si>
    <t>10 µl (= 92 kBq)</t>
  </si>
  <si>
    <t>1,5 µl + 148,5 µl PBS</t>
  </si>
  <si>
    <t>120+1080 PBS</t>
  </si>
  <si>
    <t>18F-AG120 working solution (=  1656425 CPM)</t>
  </si>
  <si>
    <t>glas vials (closed), shaker, 200 rpm, rt, 11:15-13:10</t>
  </si>
  <si>
    <t>Barbara Wenzel (email 15.12.)</t>
  </si>
  <si>
    <t>µg/ml</t>
  </si>
  <si>
    <t>Abs. 570 nm</t>
  </si>
  <si>
    <t>mean</t>
  </si>
  <si>
    <t>y = 0,000861118538007537x + 0,151288114200384000</t>
  </si>
  <si>
    <t>Filtrations- und SEC-Versuche 10.12.2025</t>
  </si>
  <si>
    <t>Abs 570 nm</t>
  </si>
  <si>
    <t>Korr. Verd.</t>
  </si>
  <si>
    <t>BCA_1 (whole cell lysate R132H; 1/10)</t>
  </si>
  <si>
    <t>BCA_2 (whole cell lysate IDH1; 1/10)</t>
  </si>
  <si>
    <t>BCA_3 (Überstand IDH1; 1/10)</t>
  </si>
  <si>
    <t>BCA_4 (Überstand R132H; 1/10)</t>
  </si>
  <si>
    <t>BCA_5 (Filtration Gesamt R132H)</t>
  </si>
  <si>
    <t>BCA_6 (Filtration Überstand R132H)</t>
  </si>
  <si>
    <t>BCA_7 (Filtration Sediment R132H)</t>
  </si>
  <si>
    <t>µg Eluate gesamt</t>
  </si>
  <si>
    <t>µg Eluate</t>
  </si>
  <si>
    <t>E6</t>
  </si>
  <si>
    <t>stabw</t>
  </si>
  <si>
    <t>E7</t>
  </si>
  <si>
    <t>E8</t>
  </si>
  <si>
    <t>E9</t>
  </si>
  <si>
    <t>E10</t>
  </si>
  <si>
    <t>E11</t>
  </si>
  <si>
    <t>E12</t>
  </si>
  <si>
    <t>UB</t>
  </si>
  <si>
    <t>AG_1</t>
  </si>
  <si>
    <t>AG_2</t>
  </si>
  <si>
    <t>AG_3</t>
  </si>
  <si>
    <t>AG_4</t>
  </si>
  <si>
    <t>- thaw, combine, grey cannula, -&gt; BCA_2 (aus 1/10) = 9.3 mg protein/ml (16.12.25)</t>
  </si>
  <si>
    <t>-  ~ 900 µl Ü  -&gt; BCA-3 (aus 1/10) = 4.6 mg protein/ml (16.12.25)</t>
  </si>
  <si>
    <t xml:space="preserve">15.000-Überstand  IDH1-U251 (~  464 µg protein) </t>
  </si>
  <si>
    <t>µg/Eluat</t>
  </si>
  <si>
    <t>(~ 387 µg protein)</t>
  </si>
  <si>
    <t>mean:  4.6  mg protein/ml</t>
  </si>
  <si>
    <t>Sum E7-E11</t>
  </si>
  <si>
    <t>Sum E7-E11 (corr., mol)</t>
  </si>
  <si>
    <t>E7E11</t>
  </si>
  <si>
    <t>+ 830 nM BAY</t>
  </si>
  <si>
    <t xml:space="preserve">+ 830 nM AG-120 </t>
  </si>
  <si>
    <t>+ 83 nM AG-120</t>
  </si>
  <si>
    <t>+ 8.3 nM AG-120</t>
  </si>
  <si>
    <r>
      <t>TB (3.1 nM [</t>
    </r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F]AG-120)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</si>
</sst>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.0E+00"/>
    <numFmt numFmtId="167" formatCode="0.0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9" fontId="0" fillId="0" borderId="3" xfId="0" applyNumberFormat="1" applyBorder="1"/>
    <xf numFmtId="9" fontId="0" fillId="0" borderId="4" xfId="0" applyNumberFormat="1" applyBorder="1"/>
    <xf numFmtId="9" fontId="0" fillId="0" borderId="5" xfId="0" applyNumberFormat="1" applyBorder="1"/>
    <xf numFmtId="9" fontId="0" fillId="0" borderId="6" xfId="0" applyNumberFormat="1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quotePrefix="1" applyFont="1"/>
    <xf numFmtId="1" fontId="0" fillId="0" borderId="0" xfId="0" applyNumberFormat="1" applyFont="1" applyFill="1"/>
    <xf numFmtId="1" fontId="0" fillId="0" borderId="0" xfId="0" applyNumberFormat="1" applyFill="1"/>
    <xf numFmtId="11" fontId="0" fillId="0" borderId="0" xfId="0" applyNumberFormat="1" applyFill="1"/>
    <xf numFmtId="14" fontId="2" fillId="0" borderId="0" xfId="0" applyNumberFormat="1" applyFont="1" applyFill="1"/>
    <xf numFmtId="0" fontId="0" fillId="0" borderId="0" xfId="0" applyFill="1"/>
    <xf numFmtId="0" fontId="2" fillId="0" borderId="0" xfId="0" applyFont="1" applyFill="1"/>
    <xf numFmtId="14" fontId="0" fillId="0" borderId="0" xfId="0" applyNumberFormat="1" applyFill="1"/>
    <xf numFmtId="0" fontId="0" fillId="0" borderId="0" xfId="0" quotePrefix="1" applyFill="1"/>
    <xf numFmtId="0" fontId="0" fillId="0" borderId="0" xfId="0" applyFont="1" applyFill="1"/>
    <xf numFmtId="0" fontId="3" fillId="0" borderId="0" xfId="0" applyFont="1" applyFill="1"/>
    <xf numFmtId="0" fontId="0" fillId="0" borderId="0" xfId="0" quotePrefix="1" applyFill="1" applyAlignment="1">
      <alignment horizontal="right"/>
    </xf>
    <xf numFmtId="2" fontId="0" fillId="0" borderId="0" xfId="0" applyNumberFormat="1" applyFill="1"/>
    <xf numFmtId="0" fontId="0" fillId="0" borderId="0" xfId="0" applyFill="1" applyAlignment="1">
      <alignment horizontal="right"/>
    </xf>
    <xf numFmtId="2" fontId="0" fillId="0" borderId="0" xfId="0" applyNumberFormat="1" applyFont="1" applyFill="1"/>
    <xf numFmtId="11" fontId="3" fillId="0" borderId="0" xfId="0" applyNumberFormat="1" applyFont="1" applyFill="1"/>
    <xf numFmtId="1" fontId="0" fillId="0" borderId="0" xfId="0" applyNumberFormat="1" applyFill="1" applyAlignment="1">
      <alignment horizontal="left"/>
    </xf>
    <xf numFmtId="20" fontId="0" fillId="0" borderId="0" xfId="0" applyNumberFormat="1" applyFill="1" applyAlignment="1">
      <alignment horizontal="left"/>
    </xf>
    <xf numFmtId="0" fontId="1" fillId="0" borderId="0" xfId="0" applyFont="1" applyFill="1"/>
    <xf numFmtId="0" fontId="0" fillId="0" borderId="0" xfId="0" applyFont="1" applyFill="1" applyAlignment="1">
      <alignment horizontal="left"/>
    </xf>
    <xf numFmtId="165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/>
    <xf numFmtId="1" fontId="3" fillId="0" borderId="0" xfId="0" applyNumberFormat="1" applyFont="1" applyFill="1"/>
    <xf numFmtId="0" fontId="3" fillId="0" borderId="0" xfId="0" quotePrefix="1" applyFont="1" applyFill="1"/>
    <xf numFmtId="0" fontId="0" fillId="0" borderId="0" xfId="0" quotePrefix="1" applyFont="1" applyFill="1"/>
    <xf numFmtId="164" fontId="3" fillId="0" borderId="0" xfId="0" applyNumberFormat="1" applyFont="1" applyFill="1"/>
    <xf numFmtId="20" fontId="0" fillId="0" borderId="0" xfId="0" applyNumberFormat="1" applyFill="1"/>
    <xf numFmtId="11" fontId="0" fillId="0" borderId="0" xfId="0" applyNumberFormat="1" applyFont="1" applyFill="1"/>
    <xf numFmtId="0" fontId="3" fillId="0" borderId="0" xfId="0" applyFont="1" applyFill="1" applyAlignment="1">
      <alignment horizontal="center"/>
    </xf>
    <xf numFmtId="16" fontId="0" fillId="0" borderId="0" xfId="0" applyNumberFormat="1" applyFill="1"/>
    <xf numFmtId="0" fontId="0" fillId="0" borderId="0" xfId="0" applyFont="1" applyFill="1" applyAlignment="1">
      <alignment horizontal="right"/>
    </xf>
    <xf numFmtId="20" fontId="0" fillId="0" borderId="0" xfId="0" applyNumberFormat="1" applyFont="1" applyFill="1"/>
    <xf numFmtId="165" fontId="0" fillId="0" borderId="0" xfId="0" applyNumberFormat="1"/>
    <xf numFmtId="0" fontId="3" fillId="0" borderId="0" xfId="0" applyFont="1"/>
    <xf numFmtId="0" fontId="0" fillId="0" borderId="0" xfId="0" applyFill="1" applyBorder="1" applyAlignment="1">
      <alignment horizontal="right"/>
    </xf>
    <xf numFmtId="165" fontId="0" fillId="0" borderId="0" xfId="0" applyNumberFormat="1" applyFill="1" applyBorder="1"/>
    <xf numFmtId="1" fontId="0" fillId="0" borderId="0" xfId="0" applyNumberFormat="1"/>
    <xf numFmtId="164" fontId="0" fillId="0" borderId="0" xfId="0" applyNumberFormat="1" applyFont="1" applyFill="1"/>
    <xf numFmtId="166" fontId="0" fillId="0" borderId="0" xfId="0" applyNumberFormat="1" applyFont="1" applyFill="1"/>
    <xf numFmtId="166" fontId="0" fillId="0" borderId="0" xfId="0" applyNumberFormat="1" applyFill="1"/>
    <xf numFmtId="0" fontId="0" fillId="0" borderId="0" xfId="0" applyFill="1" applyAlignment="1">
      <alignment horizontal="center"/>
    </xf>
    <xf numFmtId="1" fontId="5" fillId="0" borderId="0" xfId="0" applyNumberFormat="1" applyFont="1" applyFill="1"/>
    <xf numFmtId="0" fontId="0" fillId="0" borderId="0" xfId="0" applyAlignment="1"/>
    <xf numFmtId="165" fontId="0" fillId="0" borderId="0" xfId="0" applyNumberFormat="1" applyFont="1" applyFill="1"/>
    <xf numFmtId="0" fontId="6" fillId="0" borderId="0" xfId="0" applyFont="1" applyFill="1"/>
    <xf numFmtId="11" fontId="6" fillId="0" borderId="0" xfId="0" applyNumberFormat="1" applyFont="1" applyFill="1"/>
    <xf numFmtId="164" fontId="6" fillId="0" borderId="0" xfId="0" applyNumberFormat="1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5" fillId="0" borderId="0" xfId="0" applyFont="1"/>
    <xf numFmtId="0" fontId="5" fillId="0" borderId="0" xfId="0" applyFont="1" applyAlignment="1">
      <alignment wrapText="1"/>
    </xf>
    <xf numFmtId="165" fontId="5" fillId="0" borderId="0" xfId="0" applyNumberFormat="1" applyFont="1"/>
    <xf numFmtId="1" fontId="7" fillId="0" borderId="0" xfId="0" applyNumberFormat="1" applyFont="1"/>
    <xf numFmtId="167" fontId="0" fillId="0" borderId="0" xfId="0" applyNumberFormat="1"/>
    <xf numFmtId="164" fontId="0" fillId="0" borderId="0" xfId="0" applyNumberFormat="1"/>
    <xf numFmtId="1" fontId="5" fillId="0" borderId="0" xfId="0" applyNumberFormat="1" applyFont="1"/>
    <xf numFmtId="1" fontId="5" fillId="0" borderId="0" xfId="0" quotePrefix="1" applyNumberFormat="1" applyFont="1"/>
    <xf numFmtId="0" fontId="8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165" fontId="3" fillId="0" borderId="0" xfId="0" applyNumberFormat="1" applyFont="1"/>
    <xf numFmtId="165" fontId="9" fillId="0" borderId="0" xfId="0" applyNumberFormat="1" applyFont="1"/>
    <xf numFmtId="1" fontId="9" fillId="0" borderId="0" xfId="0" applyNumberFormat="1" applyFont="1"/>
    <xf numFmtId="0" fontId="9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Fill="1" applyAlignment="1">
      <alignment horizontal="right"/>
    </xf>
    <xf numFmtId="166" fontId="3" fillId="0" borderId="0" xfId="0" applyNumberFormat="1" applyFont="1" applyFill="1"/>
    <xf numFmtId="0" fontId="10" fillId="0" borderId="0" xfId="0" applyFont="1"/>
    <xf numFmtId="0" fontId="10" fillId="0" borderId="0" xfId="0" applyFont="1" applyAlignment="1">
      <alignment horizontal="right"/>
    </xf>
    <xf numFmtId="165" fontId="10" fillId="0" borderId="0" xfId="0" applyNumberFormat="1" applyFont="1"/>
    <xf numFmtId="1" fontId="10" fillId="0" borderId="0" xfId="0" applyNumberFormat="1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18F-AG120 -/+  comp. </a:t>
            </a:r>
          </a:p>
          <a:p>
            <a:pPr>
              <a:defRPr/>
            </a:pPr>
            <a:r>
              <a:rPr lang="de-DE"/>
              <a:t>supernatant of  </a:t>
            </a:r>
          </a:p>
          <a:p>
            <a:pPr>
              <a:defRPr/>
            </a:pPr>
            <a:r>
              <a:rPr lang="de-DE"/>
              <a:t>IDH1-U251 whole cell preparation </a:t>
            </a:r>
          </a:p>
          <a:p>
            <a:pPr>
              <a:defRPr/>
            </a:pPr>
            <a:r>
              <a:rPr lang="de-DE"/>
              <a:t>Activity of eluted fractions (0.2 ml); 10.12.25</a:t>
            </a:r>
          </a:p>
          <a:p>
            <a:pPr>
              <a:defRPr/>
            </a:pPr>
            <a:r>
              <a:rPr lang="de-DE"/>
              <a:t>Activity (CPM) vs. eluted volume (ml)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9.8008760103069983E-2"/>
          <c:y val="0.33348364108589507"/>
          <c:w val="0.87028812798382782"/>
          <c:h val="0.56660552680108611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Tabelle1!$E$69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12700">
                <a:solidFill>
                  <a:schemeClr val="tx2"/>
                </a:solidFill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Tabelle1!$E$70:$E$89</c:f>
              <c:numCache>
                <c:formatCode>0</c:formatCode>
                <c:ptCount val="20"/>
                <c:pt idx="0">
                  <c:v>22.68</c:v>
                </c:pt>
                <c:pt idx="1">
                  <c:v>9.39</c:v>
                </c:pt>
                <c:pt idx="2">
                  <c:v>0</c:v>
                </c:pt>
                <c:pt idx="3">
                  <c:v>23.14</c:v>
                </c:pt>
                <c:pt idx="4">
                  <c:v>14.96</c:v>
                </c:pt>
                <c:pt idx="5">
                  <c:v>3121.87</c:v>
                </c:pt>
                <c:pt idx="6">
                  <c:v>214353.92000000001</c:v>
                </c:pt>
                <c:pt idx="7">
                  <c:v>556936.48</c:v>
                </c:pt>
                <c:pt idx="8">
                  <c:v>351826.13</c:v>
                </c:pt>
                <c:pt idx="9">
                  <c:v>118381.54</c:v>
                </c:pt>
                <c:pt idx="10">
                  <c:v>39159.14</c:v>
                </c:pt>
                <c:pt idx="11">
                  <c:v>16728</c:v>
                </c:pt>
                <c:pt idx="12">
                  <c:v>8193.07</c:v>
                </c:pt>
                <c:pt idx="13">
                  <c:v>5643.68</c:v>
                </c:pt>
                <c:pt idx="14">
                  <c:v>4602.3500000000004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23-406F-882C-2311C821B866}"/>
            </c:ext>
          </c:extLst>
        </c:ser>
        <c:ser>
          <c:idx val="1"/>
          <c:order val="1"/>
          <c:tx>
            <c:strRef>
              <c:f>Tabelle1!$F$69</c:f>
              <c:strCache>
                <c:ptCount val="1"/>
                <c:pt idx="0">
                  <c:v>+ 830 nM BAY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Tabelle1!$F$70:$F$89</c:f>
              <c:numCache>
                <c:formatCode>0</c:formatCode>
                <c:ptCount val="20"/>
                <c:pt idx="0">
                  <c:v>113.8</c:v>
                </c:pt>
                <c:pt idx="1">
                  <c:v>21.49</c:v>
                </c:pt>
                <c:pt idx="2">
                  <c:v>49.86</c:v>
                </c:pt>
                <c:pt idx="3">
                  <c:v>0</c:v>
                </c:pt>
                <c:pt idx="4">
                  <c:v>50.14</c:v>
                </c:pt>
                <c:pt idx="5">
                  <c:v>3546.24</c:v>
                </c:pt>
                <c:pt idx="6">
                  <c:v>169832.32000000001</c:v>
                </c:pt>
                <c:pt idx="7">
                  <c:v>355554.27</c:v>
                </c:pt>
                <c:pt idx="8">
                  <c:v>190051.61</c:v>
                </c:pt>
                <c:pt idx="9">
                  <c:v>38933.79</c:v>
                </c:pt>
                <c:pt idx="10">
                  <c:v>15086.19</c:v>
                </c:pt>
                <c:pt idx="11">
                  <c:v>9825.4</c:v>
                </c:pt>
                <c:pt idx="12">
                  <c:v>12407.8</c:v>
                </c:pt>
                <c:pt idx="13">
                  <c:v>19585.189999999999</c:v>
                </c:pt>
                <c:pt idx="14">
                  <c:v>26913.64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4C2-452B-A950-86B20CE08553}"/>
            </c:ext>
          </c:extLst>
        </c:ser>
        <c:ser>
          <c:idx val="2"/>
          <c:order val="2"/>
          <c:tx>
            <c:strRef>
              <c:f>Tabelle1!$G$69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Tabelle1!$G$70:$G$89</c:f>
              <c:numCache>
                <c:formatCode>0</c:formatCode>
                <c:ptCount val="20"/>
                <c:pt idx="0">
                  <c:v>74.260000000000005</c:v>
                </c:pt>
                <c:pt idx="1">
                  <c:v>68.33</c:v>
                </c:pt>
                <c:pt idx="2">
                  <c:v>53.61</c:v>
                </c:pt>
                <c:pt idx="3">
                  <c:v>67.2</c:v>
                </c:pt>
                <c:pt idx="4">
                  <c:v>57.2</c:v>
                </c:pt>
                <c:pt idx="5">
                  <c:v>598.36</c:v>
                </c:pt>
                <c:pt idx="6">
                  <c:v>61634.36</c:v>
                </c:pt>
                <c:pt idx="7">
                  <c:v>197510.85</c:v>
                </c:pt>
                <c:pt idx="8">
                  <c:v>164619.92000000001</c:v>
                </c:pt>
                <c:pt idx="9">
                  <c:v>64413.72</c:v>
                </c:pt>
                <c:pt idx="10">
                  <c:v>23865.65</c:v>
                </c:pt>
                <c:pt idx="11">
                  <c:v>13177.45</c:v>
                </c:pt>
                <c:pt idx="12">
                  <c:v>12961.23</c:v>
                </c:pt>
                <c:pt idx="13">
                  <c:v>19860.490000000002</c:v>
                </c:pt>
                <c:pt idx="14">
                  <c:v>30412.59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4C2-452B-A950-86B20CE08553}"/>
            </c:ext>
          </c:extLst>
        </c:ser>
        <c:ser>
          <c:idx val="3"/>
          <c:order val="3"/>
          <c:tx>
            <c:strRef>
              <c:f>Tabelle1!$H$69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Tabelle1!$C$70:$C$89</c:f>
              <c:numCache>
                <c:formatCode>0.000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Tabelle1!$H$70:$H$89</c:f>
              <c:numCache>
                <c:formatCode>0</c:formatCode>
                <c:ptCount val="20"/>
                <c:pt idx="0">
                  <c:v>258.51</c:v>
                </c:pt>
                <c:pt idx="1">
                  <c:v>196.84</c:v>
                </c:pt>
                <c:pt idx="2">
                  <c:v>218.28</c:v>
                </c:pt>
                <c:pt idx="3">
                  <c:v>140.25</c:v>
                </c:pt>
                <c:pt idx="4">
                  <c:v>220.3</c:v>
                </c:pt>
                <c:pt idx="5">
                  <c:v>2400.4499999999998</c:v>
                </c:pt>
                <c:pt idx="6">
                  <c:v>173892.05</c:v>
                </c:pt>
                <c:pt idx="7">
                  <c:v>532126.54</c:v>
                </c:pt>
                <c:pt idx="8">
                  <c:v>397298.43</c:v>
                </c:pt>
                <c:pt idx="9">
                  <c:v>142755.21</c:v>
                </c:pt>
                <c:pt idx="10">
                  <c:v>49689.71</c:v>
                </c:pt>
                <c:pt idx="11">
                  <c:v>21022.02</c:v>
                </c:pt>
                <c:pt idx="12">
                  <c:v>9419.08</c:v>
                </c:pt>
                <c:pt idx="13">
                  <c:v>7119.8</c:v>
                </c:pt>
                <c:pt idx="14">
                  <c:v>5001.41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97-46E7-9FC2-53001C4AEC3D}"/>
            </c:ext>
          </c:extLst>
        </c:ser>
        <c:ser>
          <c:idx val="6"/>
          <c:order val="6"/>
          <c:tx>
            <c:strRef>
              <c:f>Tabelle1!$I$69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Tabelle1!$C$70:$C$84</c:f>
              <c:numCache>
                <c:formatCode>0.000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Tabelle1!$I$70:$I$84</c:f>
              <c:numCache>
                <c:formatCode>0</c:formatCode>
                <c:ptCount val="15"/>
                <c:pt idx="0">
                  <c:v>254.71</c:v>
                </c:pt>
                <c:pt idx="1">
                  <c:v>178.33</c:v>
                </c:pt>
                <c:pt idx="2">
                  <c:v>239.38</c:v>
                </c:pt>
                <c:pt idx="3">
                  <c:v>244.05</c:v>
                </c:pt>
                <c:pt idx="4">
                  <c:v>456.05</c:v>
                </c:pt>
                <c:pt idx="5">
                  <c:v>2108.9499999999998</c:v>
                </c:pt>
                <c:pt idx="6">
                  <c:v>165583.49</c:v>
                </c:pt>
                <c:pt idx="7">
                  <c:v>577361.31000000006</c:v>
                </c:pt>
                <c:pt idx="8">
                  <c:v>351001.25</c:v>
                </c:pt>
                <c:pt idx="9">
                  <c:v>80531.960000000006</c:v>
                </c:pt>
                <c:pt idx="10">
                  <c:v>22256.37</c:v>
                </c:pt>
                <c:pt idx="11">
                  <c:v>9235.85</c:v>
                </c:pt>
                <c:pt idx="12">
                  <c:v>5438.47</c:v>
                </c:pt>
                <c:pt idx="13">
                  <c:v>4930.1499999999996</c:v>
                </c:pt>
                <c:pt idx="14">
                  <c:v>5129.72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546-463D-B514-C0E6878F7E65}"/>
            </c:ext>
          </c:extLst>
        </c:ser>
        <c:ser>
          <c:idx val="7"/>
          <c:order val="7"/>
          <c:tx>
            <c:strRef>
              <c:f>Tabelle1!$J$69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Tabelle1!$C$70:$C$84</c:f>
              <c:numCache>
                <c:formatCode>0.000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Tabelle1!$J$70:$J$84</c:f>
              <c:numCache>
                <c:formatCode>0</c:formatCode>
                <c:ptCount val="15"/>
                <c:pt idx="0">
                  <c:v>307.87</c:v>
                </c:pt>
                <c:pt idx="1">
                  <c:v>345.49</c:v>
                </c:pt>
                <c:pt idx="2">
                  <c:v>358.52</c:v>
                </c:pt>
                <c:pt idx="3">
                  <c:v>346.58</c:v>
                </c:pt>
                <c:pt idx="4">
                  <c:v>263.62</c:v>
                </c:pt>
                <c:pt idx="5">
                  <c:v>14397.3</c:v>
                </c:pt>
                <c:pt idx="6">
                  <c:v>284383.94</c:v>
                </c:pt>
                <c:pt idx="7">
                  <c:v>504596.29</c:v>
                </c:pt>
                <c:pt idx="8">
                  <c:v>294405.03999999998</c:v>
                </c:pt>
                <c:pt idx="9">
                  <c:v>83595.38</c:v>
                </c:pt>
                <c:pt idx="10">
                  <c:v>24403.41</c:v>
                </c:pt>
                <c:pt idx="11">
                  <c:v>9737.7999999999993</c:v>
                </c:pt>
                <c:pt idx="12">
                  <c:v>6206.27</c:v>
                </c:pt>
                <c:pt idx="13">
                  <c:v>5470.91</c:v>
                </c:pt>
                <c:pt idx="14">
                  <c:v>5462.94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0546-463D-B514-C0E6878F7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51186320"/>
        <c:axId val="2051189232"/>
        <c:extLst>
          <c:ext xmlns:c15="http://schemas.microsoft.com/office/drawing/2012/chart" uri="{02D57815-91ED-43cb-92C2-25804820EDAC}">
            <c15:filteredScatterSeries>
              <c15:ser>
                <c:idx val="4"/>
                <c:order val="4"/>
                <c:tx>
                  <c:strRef>
                    <c:extLst>
                      <c:ext uri="{02D57815-91ED-43cb-92C2-25804820EDAC}">
                        <c15:formulaRef>
                          <c15:sqref>Tabelle1!#REF!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5"/>
                    </a:solidFill>
                    <a:ln w="9525">
                      <a:solidFill>
                        <a:schemeClr val="accent5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Tabelle1!$C$70:$C$89</c15:sqref>
                        </c15:formulaRef>
                      </c:ext>
                    </c:extLst>
                    <c:numCache>
                      <c:formatCode>0.000</c:formatCode>
                      <c:ptCount val="20"/>
                      <c:pt idx="0">
                        <c:v>0.1</c:v>
                      </c:pt>
                      <c:pt idx="1">
                        <c:v>0.30000000000000004</c:v>
                      </c:pt>
                      <c:pt idx="2">
                        <c:v>0.5</c:v>
                      </c:pt>
                      <c:pt idx="3">
                        <c:v>0.7</c:v>
                      </c:pt>
                      <c:pt idx="4">
                        <c:v>0.89999999999999991</c:v>
                      </c:pt>
                      <c:pt idx="5">
                        <c:v>1.0999999999999999</c:v>
                      </c:pt>
                      <c:pt idx="6">
                        <c:v>1.2999999999999998</c:v>
                      </c:pt>
                      <c:pt idx="7">
                        <c:v>1.4999999999999998</c:v>
                      </c:pt>
                      <c:pt idx="8">
                        <c:v>1.6999999999999997</c:v>
                      </c:pt>
                      <c:pt idx="9">
                        <c:v>1.8999999999999997</c:v>
                      </c:pt>
                      <c:pt idx="10">
                        <c:v>2.0999999999999996</c:v>
                      </c:pt>
                      <c:pt idx="11">
                        <c:v>2.2999999999999998</c:v>
                      </c:pt>
                      <c:pt idx="12">
                        <c:v>2.5</c:v>
                      </c:pt>
                      <c:pt idx="13">
                        <c:v>2.7</c:v>
                      </c:pt>
                      <c:pt idx="14">
                        <c:v>2.9000000000000004</c:v>
                      </c:pt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Tabelle1!$I$70:$I$89</c15:sqref>
                        </c15:formulaRef>
                      </c:ext>
                    </c:extLst>
                    <c:numCache>
                      <c:formatCode>0</c:formatCode>
                      <c:ptCount val="20"/>
                      <c:pt idx="0">
                        <c:v>254.71</c:v>
                      </c:pt>
                      <c:pt idx="1">
                        <c:v>178.33</c:v>
                      </c:pt>
                      <c:pt idx="2">
                        <c:v>239.38</c:v>
                      </c:pt>
                      <c:pt idx="3">
                        <c:v>244.05</c:v>
                      </c:pt>
                      <c:pt idx="4">
                        <c:v>456.05</c:v>
                      </c:pt>
                      <c:pt idx="5">
                        <c:v>2108.9499999999998</c:v>
                      </c:pt>
                      <c:pt idx="6">
                        <c:v>165583.49</c:v>
                      </c:pt>
                      <c:pt idx="7">
                        <c:v>577361.31000000006</c:v>
                      </c:pt>
                      <c:pt idx="8">
                        <c:v>351001.25</c:v>
                      </c:pt>
                      <c:pt idx="9">
                        <c:v>80531.960000000006</c:v>
                      </c:pt>
                      <c:pt idx="10">
                        <c:v>22256.37</c:v>
                      </c:pt>
                      <c:pt idx="11">
                        <c:v>9235.85</c:v>
                      </c:pt>
                      <c:pt idx="12">
                        <c:v>5438.47</c:v>
                      </c:pt>
                      <c:pt idx="13">
                        <c:v>4930.1499999999996</c:v>
                      </c:pt>
                      <c:pt idx="14">
                        <c:v>5129.72</c:v>
                      </c:pt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0-06FD-4A6B-8901-3009D83E5C3A}"/>
                  </c:ext>
                </c:extLst>
              </c15:ser>
            </c15:filteredScatterSeries>
            <c15:filteredScatte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Tabelle1!$I$69</c15:sqref>
                        </c15:formulaRef>
                      </c:ext>
                    </c:extLst>
                    <c:strCache>
                      <c:ptCount val="1"/>
                      <c:pt idx="0">
                        <c:v>+ 8.3 nM AG-120</c:v>
                      </c:pt>
                    </c:strCache>
                  </c:strRef>
                </c:tx>
                <c:spPr>
                  <a:ln w="25400" cap="rnd">
                    <a:noFill/>
                    <a:round/>
                  </a:ln>
                  <a:effectLst/>
                </c:spPr>
                <c:marker>
                  <c:symbol val="circle"/>
                  <c:size val="5"/>
                  <c:spPr>
                    <a:noFill/>
                    <a:ln w="12700">
                      <a:solidFill>
                        <a:schemeClr val="accent6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Tabelle1!$C$70:$C$89</c15:sqref>
                        </c15:formulaRef>
                      </c:ext>
                    </c:extLst>
                    <c:numCache>
                      <c:formatCode>0.000</c:formatCode>
                      <c:ptCount val="20"/>
                      <c:pt idx="0">
                        <c:v>0.1</c:v>
                      </c:pt>
                      <c:pt idx="1">
                        <c:v>0.30000000000000004</c:v>
                      </c:pt>
                      <c:pt idx="2">
                        <c:v>0.5</c:v>
                      </c:pt>
                      <c:pt idx="3">
                        <c:v>0.7</c:v>
                      </c:pt>
                      <c:pt idx="4">
                        <c:v>0.89999999999999991</c:v>
                      </c:pt>
                      <c:pt idx="5">
                        <c:v>1.0999999999999999</c:v>
                      </c:pt>
                      <c:pt idx="6">
                        <c:v>1.2999999999999998</c:v>
                      </c:pt>
                      <c:pt idx="7">
                        <c:v>1.4999999999999998</c:v>
                      </c:pt>
                      <c:pt idx="8">
                        <c:v>1.6999999999999997</c:v>
                      </c:pt>
                      <c:pt idx="9">
                        <c:v>1.8999999999999997</c:v>
                      </c:pt>
                      <c:pt idx="10">
                        <c:v>2.0999999999999996</c:v>
                      </c:pt>
                      <c:pt idx="11">
                        <c:v>2.2999999999999998</c:v>
                      </c:pt>
                      <c:pt idx="12">
                        <c:v>2.5</c:v>
                      </c:pt>
                      <c:pt idx="13">
                        <c:v>2.7</c:v>
                      </c:pt>
                      <c:pt idx="14">
                        <c:v>2.9000000000000004</c:v>
                      </c:pt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Tabelle1!$J$70:$J$89</c15:sqref>
                        </c15:formulaRef>
                      </c:ext>
                    </c:extLst>
                    <c:numCache>
                      <c:formatCode>0</c:formatCode>
                      <c:ptCount val="20"/>
                      <c:pt idx="0">
                        <c:v>307.87</c:v>
                      </c:pt>
                      <c:pt idx="1">
                        <c:v>345.49</c:v>
                      </c:pt>
                      <c:pt idx="2">
                        <c:v>358.52</c:v>
                      </c:pt>
                      <c:pt idx="3">
                        <c:v>346.58</c:v>
                      </c:pt>
                      <c:pt idx="4">
                        <c:v>263.62</c:v>
                      </c:pt>
                      <c:pt idx="5">
                        <c:v>14397.3</c:v>
                      </c:pt>
                      <c:pt idx="6">
                        <c:v>284383.94</c:v>
                      </c:pt>
                      <c:pt idx="7">
                        <c:v>504596.29</c:v>
                      </c:pt>
                      <c:pt idx="8">
                        <c:v>294405.03999999998</c:v>
                      </c:pt>
                      <c:pt idx="9">
                        <c:v>83595.38</c:v>
                      </c:pt>
                      <c:pt idx="10">
                        <c:v>24403.41</c:v>
                      </c:pt>
                      <c:pt idx="11">
                        <c:v>9737.7999999999993</c:v>
                      </c:pt>
                      <c:pt idx="12">
                        <c:v>6206.27</c:v>
                      </c:pt>
                      <c:pt idx="13">
                        <c:v>5470.91</c:v>
                      </c:pt>
                      <c:pt idx="14">
                        <c:v>5462.94</c:v>
                      </c:pt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6FD-4A6B-8901-3009D83E5C3A}"/>
                  </c:ext>
                </c:extLst>
              </c15:ser>
            </c15:filteredScatterSeries>
          </c:ext>
        </c:extLst>
      </c:scatterChart>
      <c:valAx>
        <c:axId val="2051186320"/>
        <c:scaling>
          <c:orientation val="minMax"/>
          <c:max val="3"/>
        </c:scaling>
        <c:delete val="0"/>
        <c:axPos val="b"/>
        <c:numFmt formatCode="0.0" sourceLinked="0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51189232"/>
        <c:crosses val="autoZero"/>
        <c:crossBetween val="midCat"/>
        <c:majorUnit val="1"/>
      </c:valAx>
      <c:valAx>
        <c:axId val="2051189232"/>
        <c:scaling>
          <c:orientation val="minMax"/>
          <c:max val="600000"/>
        </c:scaling>
        <c:delete val="0"/>
        <c:axPos val="l"/>
        <c:numFmt formatCode="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20511863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637127029947493"/>
          <c:y val="0.40946905737176764"/>
          <c:w val="0.34421601444895744"/>
          <c:h val="0.24649517710738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IDH1-U251 supernatant, 10.12.2025</a:t>
            </a:r>
          </a:p>
          <a:p>
            <a:pPr>
              <a:defRPr/>
            </a:pPr>
            <a:r>
              <a:rPr lang="de-DE"/>
              <a:t>protein concentration (µg/fraction) vs. eluted volume</a:t>
            </a:r>
          </a:p>
        </c:rich>
      </c:tx>
      <c:layout>
        <c:manualLayout>
          <c:xMode val="edge"/>
          <c:yMode val="edge"/>
          <c:x val="0.10902077865266842"/>
          <c:y val="3.21626976652603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Tabelle1!$T$74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Tabelle1!$S$75:$S$94</c:f>
              <c:numCache>
                <c:formatCode>0.00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Tabelle1!$T$75:$T$94</c:f>
              <c:numCache>
                <c:formatCode>0.00</c:formatCode>
                <c:ptCount val="20"/>
                <c:pt idx="6" formatCode="0">
                  <c:v>48.939112677138013</c:v>
                </c:pt>
                <c:pt idx="7" formatCode="0">
                  <c:v>130.22873415244217</c:v>
                </c:pt>
                <c:pt idx="8" formatCode="0">
                  <c:v>77.971120346889492</c:v>
                </c:pt>
                <c:pt idx="9" formatCode="0">
                  <c:v>26.17801866405285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E42-4E7A-A5AE-2319E1EC815F}"/>
            </c:ext>
          </c:extLst>
        </c:ser>
        <c:ser>
          <c:idx val="1"/>
          <c:order val="1"/>
          <c:tx>
            <c:strRef>
              <c:f>Tabelle1!$U$74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Tabelle1!$S$75:$S$94</c:f>
              <c:numCache>
                <c:formatCode>0.00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Tabelle1!$U$75:$U$94</c:f>
              <c:numCache>
                <c:formatCode>General</c:formatCode>
                <c:ptCount val="20"/>
                <c:pt idx="6" formatCode="0">
                  <c:v>61.713196051828668</c:v>
                </c:pt>
                <c:pt idx="7" formatCode="0">
                  <c:v>132.55129476602229</c:v>
                </c:pt>
                <c:pt idx="8" formatCode="0">
                  <c:v>71.932462751581213</c:v>
                </c:pt>
                <c:pt idx="9" formatCode="0">
                  <c:v>9.4555822462759913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2F7-4B19-BB11-4A1A6B9E13D6}"/>
            </c:ext>
          </c:extLst>
        </c:ser>
        <c:ser>
          <c:idx val="2"/>
          <c:order val="2"/>
          <c:tx>
            <c:strRef>
              <c:f>Tabelle1!$V$74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Tabelle1!$S$75:$S$94</c:f>
              <c:numCache>
                <c:formatCode>0.00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Tabelle1!$V$75:$V$94</c:f>
              <c:numCache>
                <c:formatCode>General</c:formatCode>
                <c:ptCount val="20"/>
                <c:pt idx="6" formatCode="0">
                  <c:v>30.358627768497055</c:v>
                </c:pt>
                <c:pt idx="7" formatCode="0">
                  <c:v>117.68690683910953</c:v>
                </c:pt>
                <c:pt idx="8" formatCode="0">
                  <c:v>90.977459782938169</c:v>
                </c:pt>
                <c:pt idx="9" formatCode="0">
                  <c:v>28.500579277632973</c:v>
                </c:pt>
                <c:pt idx="10" formatCode="0">
                  <c:v>0.62985191467153712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F7-4B19-BB11-4A1A6B9E13D6}"/>
            </c:ext>
          </c:extLst>
        </c:ser>
        <c:ser>
          <c:idx val="3"/>
          <c:order val="3"/>
          <c:tx>
            <c:strRef>
              <c:f>Tabelle1!$W$74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Tabelle1!$S$75:$S$94</c:f>
              <c:numCache>
                <c:formatCode>0.00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Tabelle1!$W$75:$W$94</c:f>
              <c:numCache>
                <c:formatCode>General</c:formatCode>
                <c:ptCount val="20"/>
                <c:pt idx="6" formatCode="0">
                  <c:v>36.86179748652139</c:v>
                </c:pt>
                <c:pt idx="7" formatCode="0">
                  <c:v>114.66757804145537</c:v>
                </c:pt>
                <c:pt idx="8" formatCode="0">
                  <c:v>91.6742279670122</c:v>
                </c:pt>
                <c:pt idx="9" formatCode="0">
                  <c:v>28.732835338990981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62F7-4B19-BB11-4A1A6B9E13D6}"/>
            </c:ext>
          </c:extLst>
        </c:ser>
        <c:ser>
          <c:idx val="4"/>
          <c:order val="4"/>
          <c:tx>
            <c:strRef>
              <c:f>Tabelle1!$X$74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Tabelle1!$S$75:$S$94</c:f>
              <c:numCache>
                <c:formatCode>0.00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Tabelle1!$X$75:$X$94</c:f>
              <c:numCache>
                <c:formatCode>General</c:formatCode>
                <c:ptCount val="20"/>
                <c:pt idx="6" formatCode="0">
                  <c:v>40.345638406891574</c:v>
                </c:pt>
                <c:pt idx="7" formatCode="0">
                  <c:v>125.35135686392391</c:v>
                </c:pt>
                <c:pt idx="8" formatCode="0">
                  <c:v>81.454961267259677</c:v>
                </c:pt>
                <c:pt idx="9" formatCode="0">
                  <c:v>11.313630737140087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89-4ECF-AA18-56C84005096C}"/>
            </c:ext>
          </c:extLst>
        </c:ser>
        <c:ser>
          <c:idx val="5"/>
          <c:order val="5"/>
          <c:tx>
            <c:strRef>
              <c:f>Tabelle1!$Y$74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Tabelle1!$S$75:$S$94</c:f>
              <c:numCache>
                <c:formatCode>0.00</c:formatCode>
                <c:ptCount val="20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Tabelle1!$Y$75:$Y$94</c:f>
              <c:numCache>
                <c:formatCode>General</c:formatCode>
                <c:ptCount val="20"/>
                <c:pt idx="6" formatCode="0">
                  <c:v>66.822829401704936</c:v>
                </c:pt>
                <c:pt idx="7" formatCode="0">
                  <c:v>123.02879625034382</c:v>
                </c:pt>
                <c:pt idx="8" formatCode="0">
                  <c:v>68.680877892569029</c:v>
                </c:pt>
                <c:pt idx="9" formatCode="0">
                  <c:v>9.4555822462759913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89-4ECF-AA18-56C840050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642528"/>
        <c:axId val="647653760"/>
      </c:scatterChart>
      <c:valAx>
        <c:axId val="647642528"/>
        <c:scaling>
          <c:orientation val="minMax"/>
          <c:max val="3"/>
        </c:scaling>
        <c:delete val="0"/>
        <c:axPos val="b"/>
        <c:numFmt formatCode="0.0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53760"/>
        <c:crossesAt val="0"/>
        <c:crossBetween val="midCat"/>
        <c:majorUnit val="1"/>
      </c:valAx>
      <c:valAx>
        <c:axId val="647653760"/>
        <c:scaling>
          <c:orientation val="minMax"/>
          <c:max val="15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42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85196847855746"/>
          <c:y val="0.28717899958005499"/>
          <c:w val="0.16130015437531359"/>
          <c:h val="0.275034747239278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IDH1-U251 supernatant, 10.12.2025</a:t>
            </a:r>
          </a:p>
          <a:p>
            <a:pPr>
              <a:defRPr/>
            </a:pPr>
            <a:r>
              <a:rPr lang="de-DE"/>
              <a:t>mol AG120/fraction vs. el. volume</a:t>
            </a:r>
          </a:p>
        </c:rich>
      </c:tx>
      <c:layout>
        <c:manualLayout>
          <c:xMode val="edge"/>
          <c:yMode val="edge"/>
          <c:x val="0.12970822397200349"/>
          <c:y val="2.81423604571028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3402375838291103"/>
          <c:y val="0.26304964539007097"/>
          <c:w val="0.81665134975543807"/>
          <c:h val="0.57356955380577423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Tabelle1!$AA$74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Tabelle1!$AA$75:$AA$89</c:f>
              <c:numCache>
                <c:formatCode>0.00E+00</c:formatCode>
                <c:ptCount val="15"/>
                <c:pt idx="0">
                  <c:v>5.0331798949665386E-18</c:v>
                </c:pt>
                <c:pt idx="1">
                  <c:v>2.0838429988419663E-18</c:v>
                </c:pt>
                <c:pt idx="3">
                  <c:v>5.1352637905434611E-18</c:v>
                </c:pt>
                <c:pt idx="4">
                  <c:v>3.3199458213712266E-18</c:v>
                </c:pt>
                <c:pt idx="5">
                  <c:v>6.9281011105375605E-16</c:v>
                </c:pt>
                <c:pt idx="6">
                  <c:v>4.7569746056052285E-14</c:v>
                </c:pt>
                <c:pt idx="7">
                  <c:v>1.2359618579847592E-13</c:v>
                </c:pt>
                <c:pt idx="8">
                  <c:v>7.8077786774245308E-14</c:v>
                </c:pt>
                <c:pt idx="9">
                  <c:v>2.6271410364337611E-14</c:v>
                </c:pt>
                <c:pt idx="10">
                  <c:v>8.6902555622654304E-15</c:v>
                </c:pt>
                <c:pt idx="11">
                  <c:v>3.7123030548060075E-15</c:v>
                </c:pt>
                <c:pt idx="12">
                  <c:v>1.8182184833356921E-15</c:v>
                </c:pt>
                <c:pt idx="13">
                  <c:v>1.2524539995425377E-15</c:v>
                </c:pt>
                <c:pt idx="14">
                  <c:v>1.0213604713227182E-15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53D-4BA7-8F13-88E48B251A7D}"/>
            </c:ext>
          </c:extLst>
        </c:ser>
        <c:ser>
          <c:idx val="1"/>
          <c:order val="1"/>
          <c:tx>
            <c:strRef>
              <c:f>Tabelle1!$AB$74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Tabelle1!$AB$75:$AB$89</c:f>
              <c:numCache>
                <c:formatCode>0.00E+00</c:formatCode>
                <c:ptCount val="15"/>
                <c:pt idx="0">
                  <c:v>2.5254668079682189E-17</c:v>
                </c:pt>
                <c:pt idx="1">
                  <c:v>4.7690932955392816E-18</c:v>
                </c:pt>
                <c:pt idx="2">
                  <c:v>1.106500659448993E-17</c:v>
                </c:pt>
                <c:pt idx="4">
                  <c:v>1.1127144617884578E-17</c:v>
                </c:pt>
                <c:pt idx="5">
                  <c:v>7.8698694315370976E-16</c:v>
                </c:pt>
                <c:pt idx="6">
                  <c:v>3.7689445261883753E-14</c:v>
                </c:pt>
                <c:pt idx="7">
                  <c:v>7.8905141240454332E-14</c:v>
                </c:pt>
                <c:pt idx="8">
                  <c:v>4.2176540672752269E-14</c:v>
                </c:pt>
                <c:pt idx="9">
                  <c:v>8.6402455495083455E-15</c:v>
                </c:pt>
                <c:pt idx="10">
                  <c:v>3.3479500969861221E-15</c:v>
                </c:pt>
                <c:pt idx="11">
                  <c:v>2.1804676252206449E-15</c:v>
                </c:pt>
                <c:pt idx="12">
                  <c:v>2.7535577381290039E-15</c:v>
                </c:pt>
                <c:pt idx="13">
                  <c:v>4.3463749800308503E-15</c:v>
                </c:pt>
                <c:pt idx="14">
                  <c:v>5.9727156855541106E-15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3D-4BA7-8F13-88E48B251A7D}"/>
            </c:ext>
          </c:extLst>
        </c:ser>
        <c:ser>
          <c:idx val="2"/>
          <c:order val="2"/>
          <c:tx>
            <c:strRef>
              <c:f>Tabelle1!$AC$74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Tabelle1!$AC$75:$AC$89</c:f>
              <c:numCache>
                <c:formatCode>0.00E+00</c:formatCode>
                <c:ptCount val="15"/>
                <c:pt idx="0">
                  <c:v>1.6479891490309311E-17</c:v>
                </c:pt>
                <c:pt idx="1">
                  <c:v>1.51638969234155E-17</c:v>
                </c:pt>
                <c:pt idx="2">
                  <c:v>1.1897212264953973E-17</c:v>
                </c:pt>
                <c:pt idx="3">
                  <c:v>1.4913125614715669E-17</c:v>
                </c:pt>
                <c:pt idx="4">
                  <c:v>1.2693910493478219E-17</c:v>
                </c:pt>
                <c:pt idx="5">
                  <c:v>1.327889559943641E-16</c:v>
                </c:pt>
                <c:pt idx="6">
                  <c:v>1.3677990369979269E-14</c:v>
                </c:pt>
                <c:pt idx="7">
                  <c:v>4.3831906492846195E-14</c:v>
                </c:pt>
                <c:pt idx="8">
                  <c:v>3.6532701572089946E-14</c:v>
                </c:pt>
                <c:pt idx="9">
                  <c:v>1.4294790143915521E-14</c:v>
                </c:pt>
                <c:pt idx="10">
                  <c:v>5.2963011358160572E-15</c:v>
                </c:pt>
                <c:pt idx="11">
                  <c:v>2.9243596299350449E-15</c:v>
                </c:pt>
                <c:pt idx="12">
                  <c:v>2.8763757605836482E-15</c:v>
                </c:pt>
                <c:pt idx="13">
                  <c:v>4.407469972318518E-15</c:v>
                </c:pt>
                <c:pt idx="14">
                  <c:v>6.7492079603994881E-15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53D-4BA7-8F13-88E48B251A7D}"/>
            </c:ext>
          </c:extLst>
        </c:ser>
        <c:ser>
          <c:idx val="3"/>
          <c:order val="3"/>
          <c:tx>
            <c:strRef>
              <c:f>Tabelle1!$AD$74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Tabelle1!$AD$75:$AD$89</c:f>
              <c:numCache>
                <c:formatCode>0.00E+00</c:formatCode>
                <c:ptCount val="15"/>
                <c:pt idx="0">
                  <c:v>5.7368930099109345E-17</c:v>
                </c:pt>
                <c:pt idx="1">
                  <c:v>4.368303044643798E-17</c:v>
                </c:pt>
                <c:pt idx="2">
                  <c:v>4.8441027666371077E-17</c:v>
                </c:pt>
                <c:pt idx="3">
                  <c:v>3.112449207535525E-17</c:v>
                </c:pt>
                <c:pt idx="4">
                  <c:v>4.8889309120861044E-17</c:v>
                </c:pt>
                <c:pt idx="5">
                  <c:v>5.3271149377744384E-16</c:v>
                </c:pt>
                <c:pt idx="6">
                  <c:v>3.8590386682297885E-14</c:v>
                </c:pt>
                <c:pt idx="7">
                  <c:v>1.1809032639797652E-13</c:v>
                </c:pt>
                <c:pt idx="8">
                  <c:v>8.8169068349989887E-14</c:v>
                </c:pt>
                <c:pt idx="9">
                  <c:v>3.1680452066742774E-14</c:v>
                </c:pt>
                <c:pt idx="10">
                  <c:v>1.1027215580190377E-14</c:v>
                </c:pt>
                <c:pt idx="11">
                  <c:v>4.6652384662956121E-15</c:v>
                </c:pt>
                <c:pt idx="12">
                  <c:v>2.0902964764145249E-15</c:v>
                </c:pt>
                <c:pt idx="13">
                  <c:v>1.5800367820186404E-15</c:v>
                </c:pt>
                <c:pt idx="14">
                  <c:v>1.1099204699508199E-15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A53D-4BA7-8F13-88E48B251A7D}"/>
            </c:ext>
          </c:extLst>
        </c:ser>
        <c:ser>
          <c:idx val="4"/>
          <c:order val="4"/>
          <c:tx>
            <c:strRef>
              <c:f>Tabelle1!$AE$74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Tabelle1!$AE$75:$AE$89</c:f>
              <c:numCache>
                <c:formatCode>0.00E+00</c:formatCode>
                <c:ptCount val="15"/>
                <c:pt idx="0">
                  <c:v>5.6525628353039117E-17</c:v>
                </c:pt>
                <c:pt idx="1">
                  <c:v>3.9575263257027462E-17</c:v>
                </c:pt>
                <c:pt idx="2">
                  <c:v>5.3123571572182095E-17</c:v>
                </c:pt>
                <c:pt idx="3">
                  <c:v>5.4159945033799989E-17</c:v>
                </c:pt>
                <c:pt idx="4">
                  <c:v>1.0120730560403395E-16</c:v>
                </c:pt>
                <c:pt idx="5">
                  <c:v>4.6802137299337216E-16</c:v>
                </c:pt>
                <c:pt idx="6">
                  <c:v>3.6746538483527022E-14</c:v>
                </c:pt>
                <c:pt idx="7">
                  <c:v>1.2812889495694635E-13</c:v>
                </c:pt>
                <c:pt idx="8">
                  <c:v>7.789472815732468E-14</c:v>
                </c:pt>
                <c:pt idx="9">
                  <c:v>1.7871774337488954E-14</c:v>
                </c:pt>
                <c:pt idx="10">
                  <c:v>4.9391672847855559E-15</c:v>
                </c:pt>
                <c:pt idx="11">
                  <c:v>2.0496337977480911E-15</c:v>
                </c:pt>
                <c:pt idx="12">
                  <c:v>1.2069134860396239E-15</c:v>
                </c:pt>
                <c:pt idx="13">
                  <c:v>1.0941063429968818E-15</c:v>
                </c:pt>
                <c:pt idx="14">
                  <c:v>1.1383952191714178E-15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4EF-491E-80A2-DB23FFE54FF0}"/>
            </c:ext>
          </c:extLst>
        </c:ser>
        <c:ser>
          <c:idx val="5"/>
          <c:order val="5"/>
          <c:tx>
            <c:strRef>
              <c:f>Tabelle1!$AF$74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Tabelle1!$AF$75:$AF$89</c:f>
              <c:numCache>
                <c:formatCode>0.00E+00</c:formatCode>
                <c:ptCount val="15"/>
                <c:pt idx="0">
                  <c:v>6.8322975937537397E-17</c:v>
                </c:pt>
                <c:pt idx="1">
                  <c:v>7.6671663223632689E-17</c:v>
                </c:pt>
                <c:pt idx="2">
                  <c:v>7.9563300526605086E-17</c:v>
                </c:pt>
                <c:pt idx="3">
                  <c:v>7.6913557671847569E-17</c:v>
                </c:pt>
                <c:pt idx="4">
                  <c:v>5.8502949026061677E-17</c:v>
                </c:pt>
                <c:pt idx="5">
                  <c:v>3.195070586499195E-15</c:v>
                </c:pt>
                <c:pt idx="6">
                  <c:v>6.31109139885084E-14</c:v>
                </c:pt>
                <c:pt idx="7">
                  <c:v>1.1198077168883179E-13</c:v>
                </c:pt>
                <c:pt idx="8">
                  <c:v>6.5334811653651657E-14</c:v>
                </c:pt>
                <c:pt idx="9">
                  <c:v>1.8551613136159078E-14</c:v>
                </c:pt>
                <c:pt idx="10">
                  <c:v>5.4156416481757216E-15</c:v>
                </c:pt>
                <c:pt idx="11">
                  <c:v>2.1610273007586046E-15</c:v>
                </c:pt>
                <c:pt idx="12">
                  <c:v>1.3773048230482355E-15</c:v>
                </c:pt>
                <c:pt idx="13">
                  <c:v>1.2141126198929181E-15</c:v>
                </c:pt>
                <c:pt idx="14">
                  <c:v>1.2123439054412919E-15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4EF-491E-80A2-DB23FFE54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642528"/>
        <c:axId val="647653760"/>
      </c:scatterChart>
      <c:valAx>
        <c:axId val="647642528"/>
        <c:scaling>
          <c:orientation val="minMax"/>
          <c:max val="3"/>
        </c:scaling>
        <c:delete val="0"/>
        <c:axPos val="b"/>
        <c:numFmt formatCode="0.0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53760"/>
        <c:crossesAt val="-50"/>
        <c:crossBetween val="midCat"/>
        <c:majorUnit val="1"/>
      </c:valAx>
      <c:valAx>
        <c:axId val="647653760"/>
        <c:scaling>
          <c:logBase val="10"/>
          <c:orientation val="minMax"/>
          <c:max val="1.0000000000000006E-12"/>
          <c:min val="1.000000000000001E-18"/>
        </c:scaling>
        <c:delete val="0"/>
        <c:axPos val="l"/>
        <c:numFmt formatCode="0.00E+0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42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317621261497669"/>
          <c:y val="0.32955520187636123"/>
          <c:w val="0.17361894365185723"/>
          <c:h val="0.264729156195901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SEC IDH1R132H-U251</a:t>
            </a:r>
            <a:r>
              <a:rPr lang="de-DE" baseline="0"/>
              <a:t> supernatant, 16.07.2025</a:t>
            </a:r>
          </a:p>
          <a:p>
            <a:pPr>
              <a:defRPr/>
            </a:pPr>
            <a:r>
              <a:rPr lang="de-DE" baseline="0"/>
              <a:t>mol AG120/mg protein vs. el. volume</a:t>
            </a:r>
            <a:endParaRPr lang="de-D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Tabelle1!$AH$74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Tabelle1!$AH$75:$AH$89</c:f>
              <c:numCache>
                <c:formatCode>0.0E+00</c:formatCode>
                <c:ptCount val="15"/>
                <c:pt idx="7">
                  <c:v>9.4907000826559229E-13</c:v>
                </c:pt>
                <c:pt idx="8">
                  <c:v>1.0013680248133061E-12</c:v>
                </c:pt>
                <c:pt idx="9">
                  <c:v>1.0035675618343496E-12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1E2-4622-A9BE-BAA615F0AF86}"/>
            </c:ext>
          </c:extLst>
        </c:ser>
        <c:ser>
          <c:idx val="1"/>
          <c:order val="1"/>
          <c:tx>
            <c:strRef>
              <c:f>Tabelle1!$AI$74</c:f>
              <c:strCache>
                <c:ptCount val="1"/>
                <c:pt idx="0">
                  <c:v>+ 830 nM BAY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Tabelle1!$AI$75:$AI$89</c:f>
              <c:numCache>
                <c:formatCode>General</c:formatCode>
                <c:ptCount val="15"/>
                <c:pt idx="7" formatCode="0.0E+00">
                  <c:v>5.9528004897829623E-13</c:v>
                </c:pt>
                <c:pt idx="8" formatCode="0.0E+00">
                  <c:v>5.8633527978054869E-13</c:v>
                </c:pt>
                <c:pt idx="9" formatCode="0.0E+00">
                  <c:v>9.1377192059338709E-13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1E2-4622-A9BE-BAA615F0AF86}"/>
            </c:ext>
          </c:extLst>
        </c:ser>
        <c:ser>
          <c:idx val="2"/>
          <c:order val="2"/>
          <c:tx>
            <c:strRef>
              <c:f>Tabelle1!$AJ$74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Tabelle1!$AJ$75:$AJ$89</c:f>
              <c:numCache>
                <c:formatCode>General</c:formatCode>
                <c:ptCount val="15"/>
                <c:pt idx="7" formatCode="0.0E+00">
                  <c:v>3.7244505502017364E-13</c:v>
                </c:pt>
                <c:pt idx="8" formatCode="0.0E+00">
                  <c:v>4.0155772275080883E-13</c:v>
                </c:pt>
                <c:pt idx="9" formatCode="0.0E+00">
                  <c:v>5.015613894954745E-13</c:v>
                </c:pt>
                <c:pt idx="10" formatCode="0.0E+00">
                  <c:v>8.408803740126815E-12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1E2-4622-A9BE-BAA615F0AF86}"/>
            </c:ext>
          </c:extLst>
        </c:ser>
        <c:ser>
          <c:idx val="3"/>
          <c:order val="3"/>
          <c:tx>
            <c:strRef>
              <c:f>Tabelle1!$AK$74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Tabelle1!$AK$75:$AK$89</c:f>
              <c:numCache>
                <c:formatCode>General</c:formatCode>
                <c:ptCount val="15"/>
                <c:pt idx="7" formatCode="0.0E+00">
                  <c:v>1.0298493123774162E-12</c:v>
                </c:pt>
                <c:pt idx="8" formatCode="0.0E+00">
                  <c:v>9.6176504897010301E-13</c:v>
                </c:pt>
                <c:pt idx="9" formatCode="0.0E+00">
                  <c:v>1.1025870469438784E-12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1E2-4622-A9BE-BAA615F0AF86}"/>
            </c:ext>
          </c:extLst>
        </c:ser>
        <c:ser>
          <c:idx val="4"/>
          <c:order val="4"/>
          <c:tx>
            <c:strRef>
              <c:f>Tabelle1!$AL$74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Tabelle1!$AL$75:$AL$89</c:f>
              <c:numCache>
                <c:formatCode>General</c:formatCode>
                <c:ptCount val="15"/>
                <c:pt idx="7" formatCode="0.0E+00">
                  <c:v>1.0221580217598891E-12</c:v>
                </c:pt>
                <c:pt idx="8" formatCode="0.0E+00">
                  <c:v>9.5629200413890553E-13</c:v>
                </c:pt>
                <c:pt idx="9" formatCode="0.0E+00">
                  <c:v>1.5796674606693647E-12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E8-45E8-BC84-D1561CC27A4E}"/>
            </c:ext>
          </c:extLst>
        </c:ser>
        <c:ser>
          <c:idx val="5"/>
          <c:order val="5"/>
          <c:tx>
            <c:strRef>
              <c:f>Tabelle1!$AM$74</c:f>
              <c:strCache>
                <c:ptCount val="1"/>
                <c:pt idx="0">
                  <c:v>CPM, AG-4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Tabelle1!$S$75:$S$89</c:f>
              <c:numCache>
                <c:formatCode>0.00</c:formatCode>
                <c:ptCount val="15"/>
                <c:pt idx="0">
                  <c:v>0.1</c:v>
                </c:pt>
                <c:pt idx="1">
                  <c:v>0.30000000000000004</c:v>
                </c:pt>
                <c:pt idx="2">
                  <c:v>0.5</c:v>
                </c:pt>
                <c:pt idx="3">
                  <c:v>0.7</c:v>
                </c:pt>
                <c:pt idx="4">
                  <c:v>0.89999999999999991</c:v>
                </c:pt>
                <c:pt idx="5">
                  <c:v>1.0999999999999999</c:v>
                </c:pt>
                <c:pt idx="6">
                  <c:v>1.2999999999999998</c:v>
                </c:pt>
                <c:pt idx="7">
                  <c:v>1.4999999999999998</c:v>
                </c:pt>
                <c:pt idx="8">
                  <c:v>1.6999999999999997</c:v>
                </c:pt>
                <c:pt idx="9">
                  <c:v>1.8999999999999997</c:v>
                </c:pt>
                <c:pt idx="10">
                  <c:v>2.0999999999999996</c:v>
                </c:pt>
                <c:pt idx="11">
                  <c:v>2.2999999999999998</c:v>
                </c:pt>
                <c:pt idx="12">
                  <c:v>2.5</c:v>
                </c:pt>
                <c:pt idx="13">
                  <c:v>2.7</c:v>
                </c:pt>
                <c:pt idx="14">
                  <c:v>2.9000000000000004</c:v>
                </c:pt>
              </c:numCache>
            </c:numRef>
          </c:xVal>
          <c:yVal>
            <c:numRef>
              <c:f>Tabelle1!$AM$75:$AM$89</c:f>
              <c:numCache>
                <c:formatCode>General</c:formatCode>
                <c:ptCount val="15"/>
                <c:pt idx="7" formatCode="0.0E+00">
                  <c:v>9.1019968577900199E-13</c:v>
                </c:pt>
                <c:pt idx="9" formatCode="0.0E+00">
                  <c:v>1.9619746994919841E-12</c:v>
                </c:pt>
                <c:pt idx="10" formatCode="0.0E+00">
                  <c:v>0</c:v>
                </c:pt>
                <c:pt idx="11" formatCode="0.0E+00">
                  <c:v>0</c:v>
                </c:pt>
                <c:pt idx="12" formatCode="0.0E+00">
                  <c:v>0</c:v>
                </c:pt>
                <c:pt idx="13" formatCode="0.0E+0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EE8-45E8-BC84-D1561CC27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7642528"/>
        <c:axId val="647653760"/>
      </c:scatterChart>
      <c:valAx>
        <c:axId val="647642528"/>
        <c:scaling>
          <c:orientation val="minMax"/>
          <c:max val="3"/>
        </c:scaling>
        <c:delete val="0"/>
        <c:axPos val="b"/>
        <c:numFmt formatCode="0.00" sourceLinked="1"/>
        <c:majorTickMark val="out"/>
        <c:minorTickMark val="out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53760"/>
        <c:crossesAt val="-50"/>
        <c:crossBetween val="midCat"/>
        <c:majorUnit val="1"/>
      </c:valAx>
      <c:valAx>
        <c:axId val="647653760"/>
        <c:scaling>
          <c:logBase val="10"/>
          <c:orientation val="minMax"/>
          <c:max val="1.0000000000000006E-12"/>
          <c:min val="1.0000000000000009E-15"/>
        </c:scaling>
        <c:delete val="0"/>
        <c:axPos val="l"/>
        <c:numFmt formatCode="0.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47642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667167620913523"/>
          <c:y val="0.28277277591359185"/>
          <c:w val="0.15517187042452529"/>
          <c:h val="0.25344137542663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BCA   assay 16.12.25</a:t>
            </a:r>
          </a:p>
        </c:rich>
      </c:tx>
      <c:layout>
        <c:manualLayout>
          <c:xMode val="edge"/>
          <c:yMode val="edge"/>
          <c:x val="0.33037175846009115"/>
          <c:y val="3.55555626657793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5485220166764"/>
          <c:y val="0.15112393973232138"/>
          <c:w val="0.83060337671750073"/>
          <c:h val="0.69623271015777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[1]Tabelle1!$G$6</c:f>
              <c:strCache>
                <c:ptCount val="1"/>
                <c:pt idx="0">
                  <c:v>mean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562577257440487"/>
                  <c:y val="4.1507199058609064E-2"/>
                </c:manualLayout>
              </c:layout>
              <c:numFmt formatCode="#,##0.0000000000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[1]Tabelle1!$D$7:$D$15</c:f>
              <c:numCache>
                <c:formatCode>General</c:formatCode>
                <c:ptCount val="9"/>
                <c:pt idx="0">
                  <c:v>0</c:v>
                </c:pt>
                <c:pt idx="1">
                  <c:v>50</c:v>
                </c:pt>
                <c:pt idx="2">
                  <c:v>125</c:v>
                </c:pt>
                <c:pt idx="3">
                  <c:v>250</c:v>
                </c:pt>
                <c:pt idx="4">
                  <c:v>500</c:v>
                </c:pt>
                <c:pt idx="5">
                  <c:v>750</c:v>
                </c:pt>
                <c:pt idx="6">
                  <c:v>1000</c:v>
                </c:pt>
                <c:pt idx="7">
                  <c:v>1500</c:v>
                </c:pt>
                <c:pt idx="8">
                  <c:v>2000</c:v>
                </c:pt>
              </c:numCache>
            </c:numRef>
          </c:xVal>
          <c:yVal>
            <c:numRef>
              <c:f>[1]Tabelle1!$G$7:$G$15</c:f>
              <c:numCache>
                <c:formatCode>General</c:formatCode>
                <c:ptCount val="9"/>
                <c:pt idx="0">
                  <c:v>7.1500000000000008E-2</c:v>
                </c:pt>
                <c:pt idx="1">
                  <c:v>0.13300000000000001</c:v>
                </c:pt>
                <c:pt idx="2">
                  <c:v>0.26300000000000001</c:v>
                </c:pt>
                <c:pt idx="3">
                  <c:v>0.39300000000000002</c:v>
                </c:pt>
                <c:pt idx="4">
                  <c:v>0.64450000000000007</c:v>
                </c:pt>
                <c:pt idx="5">
                  <c:v>0.84799999999999998</c:v>
                </c:pt>
                <c:pt idx="6">
                  <c:v>1.1815000000000002</c:v>
                </c:pt>
                <c:pt idx="7">
                  <c:v>1.6120000000000001</c:v>
                </c:pt>
                <c:pt idx="8">
                  <c:v>1.9809999999999999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D14-41B4-B7D6-75D54E35A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6329168"/>
        <c:axId val="1056330416"/>
      </c:scatterChart>
      <c:valAx>
        <c:axId val="1056329168"/>
        <c:scaling>
          <c:orientation val="minMax"/>
          <c:max val="2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30416"/>
        <c:crosses val="autoZero"/>
        <c:crossBetween val="midCat"/>
      </c:valAx>
      <c:valAx>
        <c:axId val="105633041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2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1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de-DE"/>
              <a:t>BCA   assay 16.12.25</a:t>
            </a:r>
          </a:p>
        </c:rich>
      </c:tx>
      <c:layout>
        <c:manualLayout>
          <c:xMode val="edge"/>
          <c:yMode val="edge"/>
          <c:x val="0.33037175846009115"/>
          <c:y val="3.55555626657793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0665485220166764"/>
          <c:y val="0.15112393973232138"/>
          <c:w val="0.83060337671750073"/>
          <c:h val="0.6962327101577723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[1]Tabelle1!$G$6</c:f>
              <c:strCache>
                <c:ptCount val="1"/>
                <c:pt idx="0">
                  <c:v>mean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562577257440487"/>
                  <c:y val="4.1507199058609064E-2"/>
                </c:manualLayout>
              </c:layout>
              <c:numFmt formatCode="#,##0.0000000000000000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</c:trendlineLbl>
          </c:trendline>
          <c:xVal>
            <c:numRef>
              <c:f>[1]Tabelle1!$D$7:$D$15</c:f>
              <c:numCache>
                <c:formatCode>General</c:formatCode>
                <c:ptCount val="9"/>
                <c:pt idx="0">
                  <c:v>0</c:v>
                </c:pt>
                <c:pt idx="1">
                  <c:v>50</c:v>
                </c:pt>
                <c:pt idx="2">
                  <c:v>125</c:v>
                </c:pt>
                <c:pt idx="3">
                  <c:v>250</c:v>
                </c:pt>
                <c:pt idx="4">
                  <c:v>500</c:v>
                </c:pt>
                <c:pt idx="5">
                  <c:v>750</c:v>
                </c:pt>
                <c:pt idx="6">
                  <c:v>1000</c:v>
                </c:pt>
                <c:pt idx="7">
                  <c:v>1500</c:v>
                </c:pt>
                <c:pt idx="8">
                  <c:v>2000</c:v>
                </c:pt>
              </c:numCache>
            </c:numRef>
          </c:xVal>
          <c:yVal>
            <c:numRef>
              <c:f>[1]Tabelle1!$G$7:$G$15</c:f>
              <c:numCache>
                <c:formatCode>General</c:formatCode>
                <c:ptCount val="9"/>
                <c:pt idx="0">
                  <c:v>7.1500000000000008E-2</c:v>
                </c:pt>
                <c:pt idx="1">
                  <c:v>0.13300000000000001</c:v>
                </c:pt>
                <c:pt idx="2">
                  <c:v>0.26300000000000001</c:v>
                </c:pt>
                <c:pt idx="3">
                  <c:v>0.39300000000000002</c:v>
                </c:pt>
                <c:pt idx="4">
                  <c:v>0.64450000000000007</c:v>
                </c:pt>
                <c:pt idx="5">
                  <c:v>0.84799999999999998</c:v>
                </c:pt>
                <c:pt idx="6">
                  <c:v>1.1815000000000002</c:v>
                </c:pt>
                <c:pt idx="7">
                  <c:v>1.6120000000000001</c:v>
                </c:pt>
                <c:pt idx="8">
                  <c:v>1.9809999999999999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89F-43C5-8678-892C0D4FBC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56329168"/>
        <c:axId val="1056330416"/>
      </c:scatterChart>
      <c:valAx>
        <c:axId val="1056329168"/>
        <c:scaling>
          <c:orientation val="minMax"/>
          <c:max val="210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30416"/>
        <c:crosses val="autoZero"/>
        <c:crossBetween val="midCat"/>
      </c:valAx>
      <c:valAx>
        <c:axId val="1056330416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56329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1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580539416108381"/>
          <c:y val="0.11363971922212872"/>
          <c:w val="0.77150755246730918"/>
          <c:h val="0.69311029814796232"/>
        </c:manualLayout>
      </c:layout>
      <c:scatterChart>
        <c:scatterStyle val="lineMarker"/>
        <c:varyColors val="0"/>
        <c:ser>
          <c:idx val="0"/>
          <c:order val="0"/>
          <c:tx>
            <c:strRef>
              <c:f>Tabelle1!$E$69</c:f>
              <c:strCache>
                <c:ptCount val="1"/>
                <c:pt idx="0">
                  <c:v>TB (3.1 nM [18F]AG-120)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Tabelle1!$E$70:$E$84</c:f>
              <c:numCache>
                <c:formatCode>0</c:formatCode>
                <c:ptCount val="15"/>
                <c:pt idx="0">
                  <c:v>22.68</c:v>
                </c:pt>
                <c:pt idx="1">
                  <c:v>9.39</c:v>
                </c:pt>
                <c:pt idx="2">
                  <c:v>0</c:v>
                </c:pt>
                <c:pt idx="3">
                  <c:v>23.14</c:v>
                </c:pt>
                <c:pt idx="4">
                  <c:v>14.96</c:v>
                </c:pt>
                <c:pt idx="5">
                  <c:v>3121.87</c:v>
                </c:pt>
                <c:pt idx="6">
                  <c:v>214353.92000000001</c:v>
                </c:pt>
                <c:pt idx="7">
                  <c:v>556936.48</c:v>
                </c:pt>
                <c:pt idx="8">
                  <c:v>351826.13</c:v>
                </c:pt>
                <c:pt idx="9">
                  <c:v>118381.54</c:v>
                </c:pt>
                <c:pt idx="10">
                  <c:v>39159.14</c:v>
                </c:pt>
                <c:pt idx="11">
                  <c:v>16728</c:v>
                </c:pt>
                <c:pt idx="12">
                  <c:v>8193.07</c:v>
                </c:pt>
                <c:pt idx="13">
                  <c:v>5643.68</c:v>
                </c:pt>
                <c:pt idx="14">
                  <c:v>4602.3500000000004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949-4AF8-A5ED-550E33E7B107}"/>
            </c:ext>
          </c:extLst>
        </c:ser>
        <c:ser>
          <c:idx val="1"/>
          <c:order val="1"/>
          <c:tx>
            <c:strRef>
              <c:f>Tabelle1!$F$69</c:f>
              <c:strCache>
                <c:ptCount val="1"/>
                <c:pt idx="0">
                  <c:v>+ 830 nM BAY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Tabelle1!$F$70:$F$84</c:f>
              <c:numCache>
                <c:formatCode>0</c:formatCode>
                <c:ptCount val="15"/>
                <c:pt idx="0">
                  <c:v>113.8</c:v>
                </c:pt>
                <c:pt idx="1">
                  <c:v>21.49</c:v>
                </c:pt>
                <c:pt idx="2">
                  <c:v>49.86</c:v>
                </c:pt>
                <c:pt idx="3">
                  <c:v>0</c:v>
                </c:pt>
                <c:pt idx="4">
                  <c:v>50.14</c:v>
                </c:pt>
                <c:pt idx="5">
                  <c:v>3546.24</c:v>
                </c:pt>
                <c:pt idx="6">
                  <c:v>169832.32000000001</c:v>
                </c:pt>
                <c:pt idx="7">
                  <c:v>355554.27</c:v>
                </c:pt>
                <c:pt idx="8">
                  <c:v>190051.61</c:v>
                </c:pt>
                <c:pt idx="9">
                  <c:v>38933.79</c:v>
                </c:pt>
                <c:pt idx="10">
                  <c:v>15086.19</c:v>
                </c:pt>
                <c:pt idx="11">
                  <c:v>9825.4</c:v>
                </c:pt>
                <c:pt idx="12">
                  <c:v>12407.8</c:v>
                </c:pt>
                <c:pt idx="13">
                  <c:v>19585.189999999999</c:v>
                </c:pt>
                <c:pt idx="14">
                  <c:v>26913.64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949-4AF8-A5ED-550E33E7B107}"/>
            </c:ext>
          </c:extLst>
        </c:ser>
        <c:ser>
          <c:idx val="2"/>
          <c:order val="2"/>
          <c:tx>
            <c:strRef>
              <c:f>Tabelle1!$G$69</c:f>
              <c:strCache>
                <c:ptCount val="1"/>
                <c:pt idx="0">
                  <c:v>+ 830 nM AG-120 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x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Tabelle1!$G$70:$G$84</c:f>
              <c:numCache>
                <c:formatCode>0</c:formatCode>
                <c:ptCount val="15"/>
                <c:pt idx="0">
                  <c:v>74.260000000000005</c:v>
                </c:pt>
                <c:pt idx="1">
                  <c:v>68.33</c:v>
                </c:pt>
                <c:pt idx="2">
                  <c:v>53.61</c:v>
                </c:pt>
                <c:pt idx="3">
                  <c:v>67.2</c:v>
                </c:pt>
                <c:pt idx="4">
                  <c:v>57.2</c:v>
                </c:pt>
                <c:pt idx="5">
                  <c:v>598.36</c:v>
                </c:pt>
                <c:pt idx="6">
                  <c:v>61634.36</c:v>
                </c:pt>
                <c:pt idx="7">
                  <c:v>197510.85</c:v>
                </c:pt>
                <c:pt idx="8">
                  <c:v>164619.92000000001</c:v>
                </c:pt>
                <c:pt idx="9">
                  <c:v>64413.72</c:v>
                </c:pt>
                <c:pt idx="10">
                  <c:v>23865.65</c:v>
                </c:pt>
                <c:pt idx="11">
                  <c:v>13177.45</c:v>
                </c:pt>
                <c:pt idx="12">
                  <c:v>12961.23</c:v>
                </c:pt>
                <c:pt idx="13">
                  <c:v>19860.490000000002</c:v>
                </c:pt>
                <c:pt idx="14">
                  <c:v>30412.59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949-4AF8-A5ED-550E33E7B107}"/>
            </c:ext>
          </c:extLst>
        </c:ser>
        <c:ser>
          <c:idx val="3"/>
          <c:order val="3"/>
          <c:tx>
            <c:strRef>
              <c:f>Tabelle1!$H$69</c:f>
              <c:strCache>
                <c:ptCount val="1"/>
                <c:pt idx="0">
                  <c:v>+ 83 nM AG-120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star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Tabelle1!$H$70:$H$84</c:f>
              <c:numCache>
                <c:formatCode>0</c:formatCode>
                <c:ptCount val="15"/>
                <c:pt idx="0">
                  <c:v>258.51</c:v>
                </c:pt>
                <c:pt idx="1">
                  <c:v>196.84</c:v>
                </c:pt>
                <c:pt idx="2">
                  <c:v>218.28</c:v>
                </c:pt>
                <c:pt idx="3">
                  <c:v>140.25</c:v>
                </c:pt>
                <c:pt idx="4">
                  <c:v>220.3</c:v>
                </c:pt>
                <c:pt idx="5">
                  <c:v>2400.4499999999998</c:v>
                </c:pt>
                <c:pt idx="6">
                  <c:v>173892.05</c:v>
                </c:pt>
                <c:pt idx="7">
                  <c:v>532126.54</c:v>
                </c:pt>
                <c:pt idx="8">
                  <c:v>397298.43</c:v>
                </c:pt>
                <c:pt idx="9">
                  <c:v>142755.21</c:v>
                </c:pt>
                <c:pt idx="10">
                  <c:v>49689.71</c:v>
                </c:pt>
                <c:pt idx="11">
                  <c:v>21022.02</c:v>
                </c:pt>
                <c:pt idx="12">
                  <c:v>9419.08</c:v>
                </c:pt>
                <c:pt idx="13">
                  <c:v>7119.8</c:v>
                </c:pt>
                <c:pt idx="14">
                  <c:v>5001.41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949-4AF8-A5ED-550E33E7B107}"/>
            </c:ext>
          </c:extLst>
        </c:ser>
        <c:ser>
          <c:idx val="4"/>
          <c:order val="4"/>
          <c:tx>
            <c:strRef>
              <c:f>Tabelle1!$I$69</c:f>
              <c:strCache>
                <c:ptCount val="1"/>
                <c:pt idx="0">
                  <c:v>+ 8.3 nM AG-120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triangle"/>
            <c:size val="6"/>
            <c:spPr>
              <a:noFill/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Tabelle1!$B$70:$B$84</c:f>
              <c:numCache>
                <c:formatCode>General</c:formatCode>
                <c:ptCount val="1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</c:numCache>
            </c:numRef>
          </c:xVal>
          <c:yVal>
            <c:numRef>
              <c:f>Tabelle1!$I$70:$I$84</c:f>
              <c:numCache>
                <c:formatCode>0</c:formatCode>
                <c:ptCount val="15"/>
                <c:pt idx="0">
                  <c:v>254.71</c:v>
                </c:pt>
                <c:pt idx="1">
                  <c:v>178.33</c:v>
                </c:pt>
                <c:pt idx="2">
                  <c:v>239.38</c:v>
                </c:pt>
                <c:pt idx="3">
                  <c:v>244.05</c:v>
                </c:pt>
                <c:pt idx="4">
                  <c:v>456.05</c:v>
                </c:pt>
                <c:pt idx="5">
                  <c:v>2108.9499999999998</c:v>
                </c:pt>
                <c:pt idx="6">
                  <c:v>165583.49</c:v>
                </c:pt>
                <c:pt idx="7">
                  <c:v>577361.31000000006</c:v>
                </c:pt>
                <c:pt idx="8">
                  <c:v>351001.25</c:v>
                </c:pt>
                <c:pt idx="9">
                  <c:v>80531.960000000006</c:v>
                </c:pt>
                <c:pt idx="10">
                  <c:v>22256.37</c:v>
                </c:pt>
                <c:pt idx="11">
                  <c:v>9235.85</c:v>
                </c:pt>
                <c:pt idx="12">
                  <c:v>5438.47</c:v>
                </c:pt>
                <c:pt idx="13">
                  <c:v>4930.1499999999996</c:v>
                </c:pt>
                <c:pt idx="14">
                  <c:v>5129.72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1949-4AF8-A5ED-550E33E7B1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7478112"/>
        <c:axId val="1777465152"/>
      </c:scatterChart>
      <c:valAx>
        <c:axId val="177747811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Eluted fraction (200 µl)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65152"/>
        <c:crosses val="autoZero"/>
        <c:crossBetween val="midCat"/>
        <c:majorUnit val="1"/>
      </c:valAx>
      <c:valAx>
        <c:axId val="1777465152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Activity (</a:t>
                </a:r>
                <a:r>
                  <a:rPr lang="en-US" baseline="30000"/>
                  <a:t>18</a:t>
                </a:r>
                <a:r>
                  <a:rPr lang="en-US"/>
                  <a:t>F-CPM)/eluted fraction </a:t>
                </a:r>
              </a:p>
            </c:rich>
          </c:tx>
          <c:layout>
            <c:manualLayout>
              <c:xMode val="edge"/>
              <c:yMode val="edge"/>
              <c:x val="2.8245622334620336E-2"/>
              <c:y val="0.159787949788856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4781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441458164270252"/>
          <c:y val="7.0098208564612893E-2"/>
          <c:w val="0.28029034133069908"/>
          <c:h val="0.185376265121629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294235</xdr:colOff>
      <xdr:row>63</xdr:row>
      <xdr:rowOff>21592</xdr:rowOff>
    </xdr:from>
    <xdr:to>
      <xdr:col>17</xdr:col>
      <xdr:colOff>638707</xdr:colOff>
      <xdr:row>85</xdr:row>
      <xdr:rowOff>59693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26411</xdr:colOff>
      <xdr:row>90</xdr:row>
      <xdr:rowOff>26732</xdr:rowOff>
    </xdr:from>
    <xdr:to>
      <xdr:col>25</xdr:col>
      <xdr:colOff>33618</xdr:colOff>
      <xdr:row>109</xdr:row>
      <xdr:rowOff>67235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25</xdr:col>
      <xdr:colOff>507626</xdr:colOff>
      <xdr:row>90</xdr:row>
      <xdr:rowOff>26895</xdr:rowOff>
    </xdr:from>
    <xdr:to>
      <xdr:col>32</xdr:col>
      <xdr:colOff>56029</xdr:colOff>
      <xdr:row>109</xdr:row>
      <xdr:rowOff>100853</xdr:rowOff>
    </xdr:to>
    <xdr:graphicFrame macro="">
      <xdr:nvGraphicFramePr>
        <xdr:cNvPr id="12" name="Diagramm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32</xdr:col>
      <xdr:colOff>549087</xdr:colOff>
      <xdr:row>90</xdr:row>
      <xdr:rowOff>3922</xdr:rowOff>
    </xdr:from>
    <xdr:to>
      <xdr:col>39</xdr:col>
      <xdr:colOff>0</xdr:colOff>
      <xdr:row>109</xdr:row>
      <xdr:rowOff>33617</xdr:rowOff>
    </xdr:to>
    <xdr:graphicFrame macro="">
      <xdr:nvGraphicFramePr>
        <xdr:cNvPr id="13" name="Diagramm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556590</xdr:colOff>
      <xdr:row>0</xdr:row>
      <xdr:rowOff>179295</xdr:rowOff>
    </xdr:from>
    <xdr:to>
      <xdr:col>32</xdr:col>
      <xdr:colOff>638735</xdr:colOff>
      <xdr:row>15</xdr:row>
      <xdr:rowOff>156749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42FAB91-3BFE-4631-80E0-DC9A7A6DB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556590</xdr:colOff>
      <xdr:row>0</xdr:row>
      <xdr:rowOff>179295</xdr:rowOff>
    </xdr:from>
    <xdr:to>
      <xdr:col>32</xdr:col>
      <xdr:colOff>638735</xdr:colOff>
      <xdr:row>15</xdr:row>
      <xdr:rowOff>156749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E6A42A71-A7B0-4376-9F61-AB8296455B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 editAs="oneCell">
    <xdr:from>
      <xdr:col>48</xdr:col>
      <xdr:colOff>735105</xdr:colOff>
      <xdr:row>3</xdr:row>
      <xdr:rowOff>114300</xdr:rowOff>
    </xdr:from>
    <xdr:to>
      <xdr:col>55</xdr:col>
      <xdr:colOff>147322</xdr:colOff>
      <xdr:row>46</xdr:row>
      <xdr:rowOff>151371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F0E8B83-5377-4E68-2577-61D8D823E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330405" y="685800"/>
          <a:ext cx="4746217" cy="8228571"/>
        </a:xfrm>
        <a:prstGeom prst="rect">
          <a:avLst/>
        </a:prstGeom>
      </xdr:spPr>
    </xdr:pic>
    <xdr:clientData/>
  </xdr:twoCellAnchor>
  <xdr:twoCellAnchor>
    <xdr:from>
      <xdr:col>10</xdr:col>
      <xdr:colOff>28014</xdr:colOff>
      <xdr:row>86</xdr:row>
      <xdr:rowOff>12326</xdr:rowOff>
    </xdr:from>
    <xdr:to>
      <xdr:col>17</xdr:col>
      <xdr:colOff>739588</xdr:colOff>
      <xdr:row>107</xdr:row>
      <xdr:rowOff>156882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3F2EAB4-8447-729A-7C4F-DE0DAD7DE0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onrad\Desktop\BCA%20assay.xlsx" TargetMode="External"/><Relationship Id="rId1" Type="http://schemas.openxmlformats.org/officeDocument/2006/relationships/externalLinkPath" Target="/Users/conrad/Desktop/BCA%20ass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elle1"/>
    </sheetNames>
    <sheetDataSet>
      <sheetData sheetId="0">
        <row r="6">
          <cell r="G6" t="str">
            <v>mean</v>
          </cell>
        </row>
        <row r="7">
          <cell r="D7">
            <v>0</v>
          </cell>
          <cell r="G7">
            <v>7.1500000000000008E-2</v>
          </cell>
        </row>
        <row r="8">
          <cell r="D8">
            <v>50</v>
          </cell>
          <cell r="G8">
            <v>0.13300000000000001</v>
          </cell>
        </row>
        <row r="9">
          <cell r="D9">
            <v>125</v>
          </cell>
          <cell r="G9">
            <v>0.26300000000000001</v>
          </cell>
        </row>
        <row r="10">
          <cell r="D10">
            <v>250</v>
          </cell>
          <cell r="G10">
            <v>0.39300000000000002</v>
          </cell>
        </row>
        <row r="11">
          <cell r="D11">
            <v>500</v>
          </cell>
          <cell r="G11">
            <v>0.64450000000000007</v>
          </cell>
        </row>
        <row r="12">
          <cell r="D12">
            <v>750</v>
          </cell>
          <cell r="G12">
            <v>0.84799999999999998</v>
          </cell>
        </row>
        <row r="13">
          <cell r="D13">
            <v>1000</v>
          </cell>
          <cell r="G13">
            <v>1.1815000000000002</v>
          </cell>
        </row>
        <row r="14">
          <cell r="D14">
            <v>1500</v>
          </cell>
          <cell r="G14">
            <v>1.6120000000000001</v>
          </cell>
        </row>
        <row r="15">
          <cell r="D15">
            <v>2000</v>
          </cell>
          <cell r="G15">
            <v>1.9809999999999999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57"/>
  <sheetViews>
    <sheetView tabSelected="1" topLeftCell="B50" zoomScaleNormal="100" zoomScaleSheetLayoutView="25" workbookViewId="0">
      <selection activeCell="E69" sqref="E69"/>
    </sheetView>
  </sheetViews>
  <sheetFormatPr baseColWidth="10" defaultRowHeight="15" x14ac:dyDescent="0.25"/>
  <cols>
    <col min="1" max="1" width="21.5703125" style="13" bestFit="1" customWidth="1"/>
    <col min="2" max="3" width="11.42578125" style="13"/>
    <col min="4" max="4" width="13.140625" style="13" bestFit="1" customWidth="1"/>
    <col min="5" max="7" width="11.42578125" style="13"/>
    <col min="8" max="8" width="11.42578125" style="13" customWidth="1"/>
    <col min="9" max="20" width="11.42578125" style="13"/>
    <col min="21" max="21" width="12.28515625" style="13" bestFit="1" customWidth="1"/>
    <col min="22" max="33" width="11.42578125" style="13"/>
    <col min="34" max="34" width="13.5703125" style="13" bestFit="1" customWidth="1"/>
    <col min="35" max="41" width="11.42578125" style="13"/>
    <col min="42" max="42" width="19.28515625" style="13" customWidth="1"/>
    <col min="43" max="44" width="13.7109375" style="13" bestFit="1" customWidth="1"/>
    <col min="45" max="46" width="12.7109375" style="13" bestFit="1" customWidth="1"/>
    <col min="47" max="16384" width="11.42578125" style="13"/>
  </cols>
  <sheetData>
    <row r="1" spans="1:48" x14ac:dyDescent="0.25">
      <c r="A1" s="12">
        <v>46001</v>
      </c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 s="17"/>
      <c r="AK1" s="17"/>
      <c r="AL1" s="17"/>
      <c r="AM1" s="17"/>
    </row>
    <row r="2" spans="1:48" x14ac:dyDescent="0.25"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 s="17"/>
      <c r="AL2" s="17"/>
      <c r="AM2" s="17"/>
    </row>
    <row r="3" spans="1:48" x14ac:dyDescent="0.25">
      <c r="A3" s="14" t="s">
        <v>13</v>
      </c>
      <c r="B3" s="13">
        <v>102</v>
      </c>
      <c r="C3" s="13" t="s">
        <v>1</v>
      </c>
      <c r="D3" s="15">
        <v>45821</v>
      </c>
      <c r="E3" s="13" t="s">
        <v>35</v>
      </c>
      <c r="H3" s="16" t="s">
        <v>126</v>
      </c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 s="17"/>
      <c r="AL3" s="17"/>
      <c r="AM3" s="17"/>
      <c r="AO3" s="17"/>
      <c r="AP3" s="17"/>
      <c r="AQ3" s="17"/>
      <c r="AR3" s="17"/>
      <c r="AS3" s="17"/>
    </row>
    <row r="4" spans="1:48" x14ac:dyDescent="0.25">
      <c r="B4" s="13">
        <v>39</v>
      </c>
      <c r="D4" s="15">
        <v>45849</v>
      </c>
      <c r="E4" s="13" t="s">
        <v>35</v>
      </c>
      <c r="H4" s="16" t="s">
        <v>62</v>
      </c>
      <c r="I4" s="16"/>
      <c r="R4"/>
      <c r="S4"/>
      <c r="T4"/>
      <c r="U4"/>
      <c r="V4" t="s">
        <v>97</v>
      </c>
      <c r="W4" s="80" t="s">
        <v>98</v>
      </c>
      <c r="X4" s="80"/>
      <c r="Y4" t="s">
        <v>99</v>
      </c>
      <c r="Z4"/>
      <c r="AA4"/>
      <c r="AB4"/>
      <c r="AC4"/>
      <c r="AD4"/>
      <c r="AE4"/>
      <c r="AF4"/>
      <c r="AG4"/>
      <c r="AH4"/>
      <c r="AI4"/>
      <c r="AJ4"/>
      <c r="AK4" s="17"/>
      <c r="AL4" s="17"/>
      <c r="AM4" s="17"/>
      <c r="AN4" s="17"/>
      <c r="AO4" s="17" t="s">
        <v>47</v>
      </c>
      <c r="AP4" s="17"/>
      <c r="AQ4" s="17"/>
      <c r="AR4" s="17"/>
      <c r="AS4" s="17"/>
    </row>
    <row r="5" spans="1:48" x14ac:dyDescent="0.25">
      <c r="A5" s="14"/>
      <c r="D5" s="15"/>
      <c r="H5" s="16" t="s">
        <v>127</v>
      </c>
      <c r="I5" s="16"/>
      <c r="R5"/>
      <c r="S5"/>
      <c r="T5"/>
      <c r="U5"/>
      <c r="V5">
        <v>0</v>
      </c>
      <c r="W5" s="41">
        <v>8.3000000000000004E-2</v>
      </c>
      <c r="X5" s="41">
        <v>8.3000000000000004E-2</v>
      </c>
      <c r="Y5" s="41">
        <f>AVERAGE(W5:X5)</f>
        <v>8.3000000000000004E-2</v>
      </c>
      <c r="Z5"/>
      <c r="AA5"/>
      <c r="AB5"/>
      <c r="AC5"/>
      <c r="AD5"/>
      <c r="AE5"/>
      <c r="AF5"/>
      <c r="AG5"/>
      <c r="AH5"/>
      <c r="AI5"/>
      <c r="AJ5"/>
      <c r="AK5" s="33"/>
      <c r="AL5" s="17"/>
      <c r="AM5" s="17"/>
      <c r="AN5" s="17"/>
      <c r="AO5" s="17"/>
      <c r="AP5" s="17"/>
      <c r="AQ5" s="17"/>
      <c r="AR5" s="17"/>
      <c r="AS5" s="17"/>
    </row>
    <row r="6" spans="1:48" x14ac:dyDescent="0.25">
      <c r="A6" s="16"/>
      <c r="H6" s="16" t="s">
        <v>63</v>
      </c>
      <c r="J6" s="16"/>
      <c r="L6" s="16"/>
      <c r="R6"/>
      <c r="S6"/>
      <c r="T6"/>
      <c r="U6"/>
      <c r="V6">
        <v>50</v>
      </c>
      <c r="W6" s="41">
        <v>0.182</v>
      </c>
      <c r="X6" s="41">
        <v>0.13900000000000001</v>
      </c>
      <c r="Y6" s="41">
        <f t="shared" ref="Y6:Y13" si="0">AVERAGE(W6:X6)</f>
        <v>0.1605</v>
      </c>
      <c r="Z6"/>
      <c r="AA6"/>
      <c r="AB6"/>
      <c r="AC6"/>
      <c r="AD6"/>
      <c r="AE6"/>
      <c r="AF6"/>
      <c r="AG6"/>
      <c r="AH6"/>
      <c r="AI6"/>
      <c r="AJ6"/>
      <c r="AK6" s="17"/>
      <c r="AL6" s="17"/>
      <c r="AM6" s="17"/>
      <c r="AN6" s="17"/>
      <c r="AO6" s="17"/>
      <c r="AP6" s="17" t="str">
        <f t="shared" ref="AP6:AU6" si="1">+AH74</f>
        <v>TB (3.1 nM [18F]AG-120)</v>
      </c>
      <c r="AQ6" s="53" t="str">
        <f t="shared" si="1"/>
        <v>+ 830 nM BAY</v>
      </c>
      <c r="AR6" s="17" t="str">
        <f t="shared" si="1"/>
        <v xml:space="preserve">+ 830 nM AG-120 </v>
      </c>
      <c r="AS6" s="17" t="str">
        <f t="shared" si="1"/>
        <v>+ 83 nM AG-120</v>
      </c>
      <c r="AT6" s="17" t="str">
        <f t="shared" si="1"/>
        <v>+ 8.3 nM AG-120</v>
      </c>
      <c r="AU6" s="17" t="str">
        <f t="shared" si="1"/>
        <v>CPM, AG-4</v>
      </c>
    </row>
    <row r="7" spans="1:48" x14ac:dyDescent="0.25">
      <c r="A7" s="14"/>
      <c r="I7" s="16"/>
      <c r="R7"/>
      <c r="S7"/>
      <c r="T7"/>
      <c r="U7"/>
      <c r="V7">
        <v>125</v>
      </c>
      <c r="W7" s="41">
        <v>0.24099999999999999</v>
      </c>
      <c r="X7" s="41">
        <v>0.253</v>
      </c>
      <c r="Y7" s="41">
        <f t="shared" si="0"/>
        <v>0.247</v>
      </c>
      <c r="Z7"/>
      <c r="AA7"/>
      <c r="AB7"/>
      <c r="AC7"/>
      <c r="AD7"/>
      <c r="AE7"/>
      <c r="AF7"/>
      <c r="AG7"/>
      <c r="AH7"/>
      <c r="AI7"/>
      <c r="AJ7"/>
      <c r="AL7" s="18"/>
      <c r="AM7" s="18"/>
      <c r="AN7" s="17"/>
      <c r="AO7" s="39" t="s">
        <v>66</v>
      </c>
      <c r="AP7" s="36">
        <f t="shared" ref="AP7:AU7" si="2">+$H$55</f>
        <v>3.0633023461708716E-9</v>
      </c>
      <c r="AQ7" s="54">
        <f t="shared" si="2"/>
        <v>3.0633023461708716E-9</v>
      </c>
      <c r="AR7" s="36">
        <f t="shared" si="2"/>
        <v>3.0633023461708716E-9</v>
      </c>
      <c r="AS7" s="36">
        <f t="shared" si="2"/>
        <v>3.0633023461708716E-9</v>
      </c>
      <c r="AT7" s="36">
        <f t="shared" si="2"/>
        <v>3.0633023461708716E-9</v>
      </c>
      <c r="AU7" s="36">
        <f t="shared" si="2"/>
        <v>3.0633023461708716E-9</v>
      </c>
    </row>
    <row r="8" spans="1:48" x14ac:dyDescent="0.25">
      <c r="A8" s="14"/>
      <c r="J8" s="16"/>
      <c r="R8"/>
      <c r="S8"/>
      <c r="T8"/>
      <c r="U8"/>
      <c r="V8">
        <v>250</v>
      </c>
      <c r="W8" s="41">
        <v>0.40699999999999997</v>
      </c>
      <c r="X8" s="41">
        <v>0.41499999999999998</v>
      </c>
      <c r="Y8" s="41">
        <f t="shared" si="0"/>
        <v>0.41099999999999998</v>
      </c>
      <c r="Z8"/>
      <c r="AA8"/>
      <c r="AB8"/>
      <c r="AC8"/>
      <c r="AD8"/>
      <c r="AE8"/>
      <c r="AF8"/>
      <c r="AG8"/>
      <c r="AH8"/>
      <c r="AI8"/>
      <c r="AJ8"/>
      <c r="AL8" s="18"/>
      <c r="AM8" s="18"/>
      <c r="AN8" s="17"/>
      <c r="AO8" s="39" t="s">
        <v>68</v>
      </c>
      <c r="AP8" s="17"/>
      <c r="AQ8" s="54"/>
      <c r="AR8" s="36">
        <f>+M38</f>
        <v>8.3333333333333333E-7</v>
      </c>
      <c r="AS8" s="36">
        <f>+M39</f>
        <v>8.3333333333333352E-8</v>
      </c>
      <c r="AT8" s="48">
        <f>+M40</f>
        <v>8.3333333333333352E-9</v>
      </c>
      <c r="AU8" s="48">
        <f>+M41</f>
        <v>8.3333333333333366E-10</v>
      </c>
    </row>
    <row r="9" spans="1:48" x14ac:dyDescent="0.25">
      <c r="A9" s="14" t="s">
        <v>65</v>
      </c>
      <c r="C9" s="13" t="s">
        <v>64</v>
      </c>
      <c r="R9"/>
      <c r="S9"/>
      <c r="T9"/>
      <c r="U9"/>
      <c r="V9">
        <v>500</v>
      </c>
      <c r="W9" s="41">
        <v>0.63800000000000001</v>
      </c>
      <c r="X9" s="41">
        <v>0.623</v>
      </c>
      <c r="Y9" s="41">
        <f t="shared" si="0"/>
        <v>0.63050000000000006</v>
      </c>
      <c r="Z9"/>
      <c r="AA9"/>
      <c r="AB9"/>
      <c r="AC9"/>
      <c r="AD9"/>
      <c r="AE9"/>
      <c r="AF9"/>
      <c r="AG9"/>
      <c r="AH9"/>
      <c r="AI9"/>
      <c r="AJ9"/>
      <c r="AK9" s="10"/>
      <c r="AN9" s="17"/>
      <c r="AO9" s="17"/>
      <c r="AP9" s="17"/>
      <c r="AQ9" s="53"/>
      <c r="AR9" s="17"/>
      <c r="AS9" s="17"/>
    </row>
    <row r="10" spans="1:48" x14ac:dyDescent="0.25">
      <c r="A10" s="14"/>
      <c r="R10"/>
      <c r="S10"/>
      <c r="T10"/>
      <c r="U10"/>
      <c r="V10">
        <v>750</v>
      </c>
      <c r="W10" s="41">
        <v>0.90900000000000003</v>
      </c>
      <c r="X10" s="41">
        <v>0.78900000000000003</v>
      </c>
      <c r="Y10" s="41">
        <f t="shared" si="0"/>
        <v>0.84899999999999998</v>
      </c>
      <c r="Z10"/>
      <c r="AA10"/>
      <c r="AB10"/>
      <c r="AC10"/>
      <c r="AD10"/>
      <c r="AE10"/>
      <c r="AF10"/>
      <c r="AG10"/>
      <c r="AH10"/>
      <c r="AI10"/>
      <c r="AJ10"/>
      <c r="AK10" s="17"/>
      <c r="AL10" s="18"/>
      <c r="AM10" s="18"/>
      <c r="AN10" s="17"/>
      <c r="AO10" s="17" t="s">
        <v>48</v>
      </c>
      <c r="AP10" s="36">
        <f>+AP7+AP8</f>
        <v>3.0633023461708716E-9</v>
      </c>
      <c r="AQ10" s="54">
        <f t="shared" ref="AQ10:AU10" si="3">+AQ7+AQ8</f>
        <v>3.0633023461708716E-9</v>
      </c>
      <c r="AR10" s="36">
        <f t="shared" si="3"/>
        <v>8.3639663567950425E-7</v>
      </c>
      <c r="AS10" s="36">
        <f t="shared" si="3"/>
        <v>8.6396635679504219E-8</v>
      </c>
      <c r="AT10" s="36">
        <f t="shared" si="3"/>
        <v>1.1396635679504207E-8</v>
      </c>
      <c r="AU10" s="36">
        <f t="shared" si="3"/>
        <v>3.8966356795042054E-9</v>
      </c>
    </row>
    <row r="11" spans="1:48" x14ac:dyDescent="0.25">
      <c r="A11" s="14" t="s">
        <v>34</v>
      </c>
      <c r="B11" s="13" t="s">
        <v>88</v>
      </c>
      <c r="R11"/>
      <c r="S11"/>
      <c r="T11"/>
      <c r="U11"/>
      <c r="V11">
        <v>1000</v>
      </c>
      <c r="W11" s="41">
        <v>1.0580000000000001</v>
      </c>
      <c r="X11" s="41">
        <v>1.0089999999999999</v>
      </c>
      <c r="Y11" s="41">
        <f t="shared" si="0"/>
        <v>1.0335000000000001</v>
      </c>
      <c r="Z11"/>
      <c r="AA11"/>
      <c r="AB11"/>
      <c r="AC11"/>
      <c r="AD11"/>
      <c r="AE11"/>
      <c r="AF11"/>
      <c r="AG11"/>
      <c r="AH11"/>
      <c r="AI11"/>
      <c r="AJ11"/>
      <c r="AK11" s="17"/>
      <c r="AL11" s="18"/>
      <c r="AM11" s="18"/>
      <c r="AN11" s="17"/>
      <c r="AO11" s="17" t="s">
        <v>49</v>
      </c>
      <c r="AP11" s="46">
        <f>+AP10/AP7</f>
        <v>1</v>
      </c>
      <c r="AQ11" s="55">
        <f t="shared" ref="AQ11:AU11" si="4">+AQ10/AQ7</f>
        <v>1</v>
      </c>
      <c r="AR11" s="46">
        <f t="shared" si="4"/>
        <v>273.03757225433532</v>
      </c>
      <c r="AS11" s="46">
        <f t="shared" si="4"/>
        <v>28.203757225433534</v>
      </c>
      <c r="AT11" s="46">
        <f t="shared" si="4"/>
        <v>3.7203757225433538</v>
      </c>
      <c r="AU11" s="46">
        <f t="shared" si="4"/>
        <v>1.2720375722543353</v>
      </c>
    </row>
    <row r="12" spans="1:48" x14ac:dyDescent="0.25">
      <c r="A12" s="14"/>
      <c r="B12" s="13" t="s">
        <v>89</v>
      </c>
      <c r="R12"/>
      <c r="S12"/>
      <c r="T12"/>
      <c r="U12"/>
      <c r="V12">
        <v>1500</v>
      </c>
      <c r="W12" s="41">
        <v>1.4139999999999999</v>
      </c>
      <c r="X12" s="41">
        <v>1.425</v>
      </c>
      <c r="Y12" s="41">
        <f t="shared" si="0"/>
        <v>1.4195</v>
      </c>
      <c r="Z12"/>
      <c r="AA12"/>
      <c r="AB12"/>
      <c r="AC12"/>
      <c r="AD12"/>
      <c r="AE12"/>
      <c r="AF12"/>
      <c r="AG12"/>
      <c r="AH12"/>
      <c r="AI12"/>
      <c r="AJ12"/>
      <c r="AK12" s="17"/>
      <c r="AM12" s="18"/>
      <c r="AN12" s="17"/>
      <c r="AO12" s="17"/>
      <c r="AP12" s="17"/>
      <c r="AQ12" s="53"/>
      <c r="AR12" s="17"/>
      <c r="AS12" s="17"/>
    </row>
    <row r="13" spans="1:48" x14ac:dyDescent="0.25">
      <c r="A13" s="14"/>
      <c r="R13"/>
      <c r="S13"/>
      <c r="T13"/>
      <c r="U13"/>
      <c r="V13">
        <v>2000</v>
      </c>
      <c r="W13" s="41">
        <v>1.794</v>
      </c>
      <c r="X13" s="41">
        <v>1.8959999999999999</v>
      </c>
      <c r="Y13" s="41">
        <f t="shared" si="0"/>
        <v>1.845</v>
      </c>
      <c r="Z13"/>
      <c r="AA13"/>
      <c r="AB13"/>
      <c r="AC13"/>
      <c r="AD13"/>
      <c r="AE13"/>
      <c r="AF13"/>
      <c r="AG13"/>
      <c r="AH13"/>
      <c r="AI13"/>
      <c r="AJ13"/>
      <c r="AN13" s="17"/>
      <c r="AO13" s="17"/>
      <c r="AP13" s="17"/>
      <c r="AQ13" s="53"/>
      <c r="AR13" s="17"/>
      <c r="AS13" s="17"/>
    </row>
    <row r="14" spans="1:48" x14ac:dyDescent="0.25">
      <c r="A14" s="14"/>
      <c r="C14" s="11"/>
      <c r="R14"/>
      <c r="S14"/>
      <c r="T14"/>
      <c r="U14"/>
      <c r="V14"/>
      <c r="W14" s="41"/>
      <c r="X14" s="41"/>
      <c r="Y14" s="41"/>
      <c r="Z14"/>
      <c r="AA14"/>
      <c r="AB14"/>
      <c r="AC14"/>
      <c r="AD14"/>
      <c r="AE14"/>
      <c r="AF14"/>
      <c r="AG14"/>
      <c r="AH14"/>
      <c r="AI14"/>
      <c r="AJ14"/>
      <c r="AN14" s="17"/>
      <c r="AO14" s="17" t="str">
        <f>+B99</f>
        <v>Sum E7-E11</v>
      </c>
      <c r="AP14" s="9">
        <f t="shared" ref="AP14:AU14" si="5">+E99</f>
        <v>1280657.21</v>
      </c>
      <c r="AQ14" s="9">
        <f t="shared" si="5"/>
        <v>769458.18</v>
      </c>
      <c r="AR14" s="9">
        <f t="shared" si="5"/>
        <v>512044.5</v>
      </c>
      <c r="AS14" s="9">
        <f t="shared" si="5"/>
        <v>1295761.94</v>
      </c>
      <c r="AT14" s="9">
        <f t="shared" si="5"/>
        <v>1196734.3800000001</v>
      </c>
      <c r="AU14" s="9">
        <f t="shared" si="5"/>
        <v>1191384.0599999998</v>
      </c>
      <c r="AV14" s="13" t="s">
        <v>5</v>
      </c>
    </row>
    <row r="15" spans="1:48" x14ac:dyDescent="0.25">
      <c r="I15" s="17"/>
      <c r="J15" s="17"/>
      <c r="K15" s="17"/>
      <c r="L15" s="17"/>
      <c r="M15" s="17"/>
      <c r="N15" s="17"/>
      <c r="O15" s="17"/>
      <c r="R15"/>
      <c r="S15"/>
      <c r="T15"/>
      <c r="U15"/>
      <c r="V15" t="s">
        <v>100</v>
      </c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N15" s="17"/>
      <c r="AO15" s="17"/>
      <c r="AP15" s="36">
        <f>+AP14*$N$28</f>
        <v>2.8420538455537654E-13</v>
      </c>
      <c r="AQ15" s="54">
        <f t="shared" ref="AQ15:AU15" si="6">+AQ14*$N$28</f>
        <v>1.7075932282158483E-13</v>
      </c>
      <c r="AR15" s="36">
        <f t="shared" si="6"/>
        <v>1.1363368971464699E-13</v>
      </c>
      <c r="AS15" s="36">
        <f t="shared" si="6"/>
        <v>2.8755744907719741E-13</v>
      </c>
      <c r="AT15" s="36">
        <f t="shared" si="6"/>
        <v>2.655811032200726E-13</v>
      </c>
      <c r="AU15" s="36">
        <f t="shared" si="6"/>
        <v>2.643937521153266E-13</v>
      </c>
      <c r="AV15" s="13" t="s">
        <v>22</v>
      </c>
    </row>
    <row r="16" spans="1:48" x14ac:dyDescent="0.25">
      <c r="A16" s="14" t="s">
        <v>66</v>
      </c>
      <c r="B16" s="13" t="s">
        <v>24</v>
      </c>
      <c r="C16" s="13" t="s">
        <v>33</v>
      </c>
      <c r="E16" s="17"/>
      <c r="F16" s="18"/>
      <c r="G16" s="18"/>
      <c r="H16" s="18"/>
      <c r="I16" s="17" t="s">
        <v>9</v>
      </c>
      <c r="J16" s="17">
        <v>283</v>
      </c>
      <c r="K16" s="17" t="s">
        <v>10</v>
      </c>
      <c r="L16" s="40">
        <v>0.43472222222222223</v>
      </c>
      <c r="M16" s="17" t="s">
        <v>96</v>
      </c>
      <c r="N16" s="17"/>
      <c r="O16" s="17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N16" s="17"/>
      <c r="AO16" s="17"/>
      <c r="AP16" s="17"/>
      <c r="AQ16" s="53"/>
      <c r="AR16" s="17"/>
      <c r="AS16" s="17"/>
    </row>
    <row r="17" spans="1:50" x14ac:dyDescent="0.25">
      <c r="C17" s="19"/>
      <c r="D17" s="20"/>
      <c r="J17" s="17">
        <v>251</v>
      </c>
      <c r="K17" s="17" t="s">
        <v>10</v>
      </c>
      <c r="L17" s="40">
        <v>0.44791666666666669</v>
      </c>
      <c r="M17" s="17"/>
      <c r="N17" s="17"/>
      <c r="O17" s="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N17" s="17"/>
      <c r="AO17" s="17" t="s">
        <v>50</v>
      </c>
      <c r="AP17" s="36">
        <f>+AP15*AP11</f>
        <v>2.8420538455537654E-13</v>
      </c>
      <c r="AQ17" s="54">
        <f t="shared" ref="AQ17:AU17" si="7">+AQ15*AQ11</f>
        <v>1.7075932282158483E-13</v>
      </c>
      <c r="AR17" s="36">
        <f t="shared" si="7"/>
        <v>3.1026266765989647E-11</v>
      </c>
      <c r="AS17" s="36">
        <f t="shared" si="7"/>
        <v>8.1102004821382425E-12</v>
      </c>
      <c r="AT17" s="36">
        <f t="shared" si="7"/>
        <v>9.8806148878623857E-13</v>
      </c>
      <c r="AU17" s="36">
        <f t="shared" si="7"/>
        <v>3.3631878655999459E-13</v>
      </c>
      <c r="AV17" s="13" t="s">
        <v>22</v>
      </c>
    </row>
    <row r="18" spans="1:50" x14ac:dyDescent="0.25">
      <c r="B18" s="13" t="s">
        <v>25</v>
      </c>
      <c r="C18" s="19"/>
      <c r="D18" s="13" t="s">
        <v>90</v>
      </c>
      <c r="J18" s="17">
        <f>+J17</f>
        <v>251</v>
      </c>
      <c r="K18" s="17" t="s">
        <v>20</v>
      </c>
      <c r="L18" s="40">
        <v>0.44791666666666669</v>
      </c>
      <c r="M18" s="17"/>
      <c r="N18" s="17"/>
      <c r="O18" s="17"/>
      <c r="R18"/>
      <c r="S18"/>
      <c r="T18"/>
      <c r="U18"/>
      <c r="V18" s="57" t="s">
        <v>101</v>
      </c>
      <c r="W18"/>
      <c r="X18" s="56" t="s">
        <v>102</v>
      </c>
      <c r="Y18" s="56"/>
      <c r="Z18" s="56"/>
      <c r="AA18"/>
      <c r="AB18" s="58" t="s">
        <v>99</v>
      </c>
      <c r="AC18" s="58" t="s">
        <v>97</v>
      </c>
      <c r="AD18" t="s">
        <v>103</v>
      </c>
      <c r="AE18" t="s">
        <v>129</v>
      </c>
      <c r="AF18"/>
      <c r="AG18"/>
      <c r="AH18" s="59"/>
      <c r="AI18" s="58"/>
      <c r="AJ18" s="58"/>
      <c r="AN18" s="17"/>
      <c r="AO18" s="17"/>
      <c r="AP18" s="17"/>
      <c r="AQ18" s="53"/>
      <c r="AR18" s="17"/>
      <c r="AS18" s="17"/>
    </row>
    <row r="19" spans="1:50" x14ac:dyDescent="0.25">
      <c r="D19" s="19" t="s">
        <v>2</v>
      </c>
      <c r="E19" s="20">
        <v>55.36</v>
      </c>
      <c r="F19" s="13" t="s">
        <v>56</v>
      </c>
      <c r="J19" s="17"/>
      <c r="K19" s="17"/>
      <c r="L19" s="17"/>
      <c r="M19" s="17"/>
      <c r="N19" s="17"/>
      <c r="O19" s="17"/>
      <c r="R19"/>
      <c r="S19"/>
      <c r="T19"/>
      <c r="U19" s="76"/>
      <c r="V19" s="77"/>
      <c r="W19" s="77" t="s">
        <v>104</v>
      </c>
      <c r="X19" s="78">
        <v>0.97799999999999998</v>
      </c>
      <c r="Y19" s="78">
        <v>1.0389999999999999</v>
      </c>
      <c r="Z19" s="76"/>
      <c r="AA19" s="76"/>
      <c r="AB19" s="78">
        <f>AVERAGE(X19:AA19)</f>
        <v>1.0085</v>
      </c>
      <c r="AC19" s="79">
        <f>+(X19- 0.151288114200384)/0.000861118538007537</f>
        <v>960.04423236836658</v>
      </c>
      <c r="AD19" s="79">
        <f>+AC19*10</f>
        <v>9600.4423236836665</v>
      </c>
      <c r="AE19" s="62"/>
      <c r="AF19" s="62"/>
      <c r="AG19" s="63"/>
      <c r="AH19" s="64"/>
      <c r="AI19" s="64"/>
      <c r="AJ19" s="73"/>
      <c r="AN19" s="17"/>
      <c r="AO19" s="17"/>
      <c r="AP19" s="17"/>
      <c r="AQ19" s="53"/>
      <c r="AR19" s="17"/>
      <c r="AS19" s="17" t="s">
        <v>84</v>
      </c>
      <c r="AT19" s="13" t="s">
        <v>133</v>
      </c>
    </row>
    <row r="20" spans="1:50" x14ac:dyDescent="0.25">
      <c r="D20" s="19" t="s">
        <v>2</v>
      </c>
      <c r="E20" s="22">
        <f>+E19/6</f>
        <v>9.2266666666666666</v>
      </c>
      <c r="F20" s="17" t="s">
        <v>12</v>
      </c>
      <c r="R20"/>
      <c r="S20"/>
      <c r="T20"/>
      <c r="U20"/>
      <c r="V20"/>
      <c r="W20" s="57" t="s">
        <v>105</v>
      </c>
      <c r="X20" s="60">
        <v>0.94599999999999995</v>
      </c>
      <c r="Y20" s="60">
        <v>1.1020000000000001</v>
      </c>
      <c r="Z20" s="58"/>
      <c r="AA20" s="58"/>
      <c r="AB20" s="60">
        <f t="shared" ref="AB20:AB65" si="8">AVERAGE(X20:AA20)</f>
        <v>1.024</v>
      </c>
      <c r="AC20" s="61">
        <f t="shared" ref="AC20:AC65" si="9">+(X20- 0.151288114200384)/0.000861118538007537</f>
        <v>922.88326255108473</v>
      </c>
      <c r="AD20" s="45">
        <f t="shared" ref="AD20:AD22" si="10">+AC20*10</f>
        <v>9228.8326255108477</v>
      </c>
      <c r="AE20" s="62"/>
      <c r="AF20" s="62"/>
      <c r="AG20" s="63"/>
      <c r="AH20" s="64"/>
      <c r="AI20" s="65"/>
      <c r="AJ20" s="73"/>
      <c r="AN20" s="17"/>
      <c r="AO20" s="17"/>
      <c r="AP20" s="17"/>
      <c r="AQ20" s="54"/>
      <c r="AR20" s="17"/>
      <c r="AS20" s="22">
        <f>+AP10*1000000000</f>
        <v>3.0633023461708717</v>
      </c>
      <c r="AT20" s="11">
        <f>+AP17</f>
        <v>2.8420538455537654E-13</v>
      </c>
      <c r="AX20" s="11"/>
    </row>
    <row r="21" spans="1:50" x14ac:dyDescent="0.25">
      <c r="D21" s="19" t="s">
        <v>2</v>
      </c>
      <c r="E21" s="36">
        <f>+E20/J18*0.000001</f>
        <v>3.6759628154050458E-8</v>
      </c>
      <c r="F21" s="17" t="s">
        <v>11</v>
      </c>
      <c r="R21"/>
      <c r="S21"/>
      <c r="T21"/>
      <c r="U21"/>
      <c r="V21"/>
      <c r="W21" s="57" t="s">
        <v>106</v>
      </c>
      <c r="X21" s="60">
        <v>0.55100000000000005</v>
      </c>
      <c r="Y21" s="60">
        <v>0.61699999999999999</v>
      </c>
      <c r="Z21" s="58"/>
      <c r="AA21" s="58"/>
      <c r="AB21" s="60">
        <f t="shared" si="8"/>
        <v>0.58400000000000007</v>
      </c>
      <c r="AC21" s="61">
        <f t="shared" si="9"/>
        <v>464.17754136901129</v>
      </c>
      <c r="AD21" s="45">
        <f t="shared" si="10"/>
        <v>4641.7754136901131</v>
      </c>
      <c r="AE21" s="62"/>
      <c r="AF21" s="62"/>
      <c r="AG21" s="63"/>
      <c r="AH21" s="63"/>
      <c r="AI21" s="66"/>
      <c r="AJ21" s="66"/>
      <c r="AN21" s="18"/>
      <c r="AO21" s="36"/>
      <c r="AQ21" s="54"/>
      <c r="AR21" s="17"/>
      <c r="AS21" s="22">
        <f>+AR10*1000000000</f>
        <v>836.39663567950424</v>
      </c>
      <c r="AT21" s="11">
        <f>+AR17</f>
        <v>3.1026266765989647E-11</v>
      </c>
    </row>
    <row r="22" spans="1:50" x14ac:dyDescent="0.25">
      <c r="R22"/>
      <c r="S22"/>
      <c r="T22"/>
      <c r="U22" s="76"/>
      <c r="V22" s="76"/>
      <c r="W22" s="77" t="s">
        <v>107</v>
      </c>
      <c r="X22" s="78">
        <v>0.54700000000000004</v>
      </c>
      <c r="Y22" s="78">
        <v>0.58899999999999997</v>
      </c>
      <c r="Z22" s="78"/>
      <c r="AA22" s="76"/>
      <c r="AB22" s="78">
        <f t="shared" si="8"/>
        <v>0.56800000000000006</v>
      </c>
      <c r="AC22" s="79">
        <f t="shared" si="9"/>
        <v>459.53242014185105</v>
      </c>
      <c r="AD22" s="79">
        <f t="shared" si="10"/>
        <v>4595.3242014185107</v>
      </c>
      <c r="AE22" s="62"/>
      <c r="AF22" s="62"/>
      <c r="AG22" s="63"/>
      <c r="AH22"/>
      <c r="AI22" s="66"/>
      <c r="AJ22" s="66"/>
      <c r="AN22" s="18"/>
      <c r="AO22" s="36"/>
      <c r="AQ22" s="54"/>
      <c r="AR22" s="17"/>
      <c r="AS22" s="22">
        <f>+AS10*1000000000</f>
        <v>86.396635679504215</v>
      </c>
      <c r="AT22" s="11">
        <f>+AS17</f>
        <v>8.1102004821382425E-12</v>
      </c>
    </row>
    <row r="23" spans="1:50" x14ac:dyDescent="0.25">
      <c r="R23"/>
      <c r="S23"/>
      <c r="T23"/>
      <c r="U23" s="76"/>
      <c r="V23" s="76"/>
      <c r="W23" s="77" t="s">
        <v>108</v>
      </c>
      <c r="X23" s="78">
        <v>0.50700000000000001</v>
      </c>
      <c r="Y23" s="78">
        <v>0.55000000000000004</v>
      </c>
      <c r="Z23" s="78"/>
      <c r="AA23" s="76"/>
      <c r="AB23" s="78">
        <f t="shared" si="8"/>
        <v>0.52849999999999997</v>
      </c>
      <c r="AC23" s="79">
        <f t="shared" si="9"/>
        <v>413.08120787024865</v>
      </c>
      <c r="AD23" s="79"/>
      <c r="AE23" s="62"/>
      <c r="AF23" s="62"/>
      <c r="AG23" s="63"/>
      <c r="AH23"/>
      <c r="AI23" s="66"/>
      <c r="AJ23" s="66"/>
      <c r="AN23" s="18"/>
      <c r="AO23" s="36"/>
      <c r="AQ23" s="54"/>
      <c r="AR23" s="17"/>
      <c r="AS23" s="22">
        <f>+AT10*1000000000</f>
        <v>11.396635679504207</v>
      </c>
      <c r="AT23" s="11">
        <f>+AT17</f>
        <v>9.8806148878623857E-13</v>
      </c>
    </row>
    <row r="24" spans="1:50" x14ac:dyDescent="0.25">
      <c r="B24" s="13" t="s">
        <v>26</v>
      </c>
      <c r="C24" s="13" t="s">
        <v>91</v>
      </c>
      <c r="E24" s="13" t="s">
        <v>44</v>
      </c>
      <c r="I24" s="9">
        <v>1611206.58</v>
      </c>
      <c r="J24" s="13" t="s">
        <v>5</v>
      </c>
      <c r="K24" s="13" t="s">
        <v>45</v>
      </c>
      <c r="M24" s="24">
        <f>AVERAGE(I24:I26)</f>
        <v>1656424.7333333334</v>
      </c>
      <c r="N24" s="13" t="s">
        <v>8</v>
      </c>
      <c r="O24" s="24">
        <f>STDEV(I24:I28)</f>
        <v>39703.091852892678</v>
      </c>
      <c r="P24" s="10">
        <f>+O24*100/M24</f>
        <v>2.3969149369676166</v>
      </c>
      <c r="Q24" s="13" t="s">
        <v>4</v>
      </c>
      <c r="R24"/>
      <c r="S24"/>
      <c r="T24"/>
      <c r="U24" s="76"/>
      <c r="V24" s="76"/>
      <c r="W24" s="77" t="s">
        <v>109</v>
      </c>
      <c r="X24" s="78">
        <v>0.374</v>
      </c>
      <c r="Y24" s="78">
        <v>0.38600000000000001</v>
      </c>
      <c r="Z24" s="78"/>
      <c r="AA24" s="76"/>
      <c r="AB24" s="78">
        <f t="shared" si="8"/>
        <v>0.38</v>
      </c>
      <c r="AC24" s="79">
        <f t="shared" si="9"/>
        <v>258.63092706717077</v>
      </c>
      <c r="AD24" s="79"/>
      <c r="AE24" s="62"/>
      <c r="AF24" s="62"/>
      <c r="AG24" s="63"/>
      <c r="AH24" s="63"/>
      <c r="AI24" s="66"/>
      <c r="AJ24" s="66"/>
      <c r="AN24" s="18"/>
      <c r="AO24" s="17"/>
      <c r="AP24" s="17"/>
      <c r="AQ24" s="53"/>
      <c r="AR24" s="17"/>
      <c r="AS24" s="22">
        <f>+AU10*1000000000</f>
        <v>3.8966356795042052</v>
      </c>
      <c r="AT24" s="11">
        <f>+AU17</f>
        <v>3.3631878655999459E-13</v>
      </c>
    </row>
    <row r="25" spans="1:50" x14ac:dyDescent="0.25">
      <c r="B25" s="19" t="s">
        <v>2</v>
      </c>
      <c r="C25" s="36">
        <f>+E21/1000*0.01</f>
        <v>3.6759628154050457E-13</v>
      </c>
      <c r="D25" s="13" t="s">
        <v>22</v>
      </c>
      <c r="I25" s="10">
        <v>1685577.85</v>
      </c>
      <c r="M25" s="10">
        <f>+M24</f>
        <v>1656424.7333333334</v>
      </c>
      <c r="N25" s="13" t="s">
        <v>5</v>
      </c>
      <c r="R25"/>
      <c r="S25"/>
      <c r="T25"/>
      <c r="U25" s="76"/>
      <c r="V25" s="76"/>
      <c r="W25" s="77" t="s">
        <v>110</v>
      </c>
      <c r="X25" s="78">
        <v>0.51800000000000002</v>
      </c>
      <c r="Y25" s="78">
        <v>0.57499999999999996</v>
      </c>
      <c r="Z25" s="78"/>
      <c r="AA25" s="76"/>
      <c r="AB25" s="78">
        <f t="shared" si="8"/>
        <v>0.54649999999999999</v>
      </c>
      <c r="AC25" s="79">
        <f t="shared" si="9"/>
        <v>425.85529124493934</v>
      </c>
      <c r="AD25" s="79"/>
      <c r="AE25"/>
      <c r="AF25" s="62" t="s">
        <v>111</v>
      </c>
      <c r="AG25" s="62"/>
      <c r="AH25" t="s">
        <v>112</v>
      </c>
      <c r="AI25" s="63" t="s">
        <v>99</v>
      </c>
      <c r="AJ25" s="45">
        <f>AVERAGE(AF26,AF33,AF40,AF47,AF54,AF61)</f>
        <v>270.91884318986149</v>
      </c>
      <c r="AN25" s="18"/>
      <c r="AO25" s="17"/>
      <c r="AP25" s="17"/>
      <c r="AQ25" s="53"/>
      <c r="AR25" s="17"/>
    </row>
    <row r="26" spans="1:50" x14ac:dyDescent="0.25">
      <c r="B26" s="19" t="s">
        <v>46</v>
      </c>
      <c r="C26" s="13" t="s">
        <v>27</v>
      </c>
      <c r="E26" s="13" t="s">
        <v>87</v>
      </c>
      <c r="I26" s="10">
        <v>1672489.77</v>
      </c>
      <c r="M26" s="28">
        <f>+E20/100</f>
        <v>9.2266666666666663E-2</v>
      </c>
      <c r="N26" s="13" t="s">
        <v>21</v>
      </c>
      <c r="R26"/>
      <c r="S26"/>
      <c r="T26"/>
      <c r="U26"/>
      <c r="V26" s="57" t="s">
        <v>7</v>
      </c>
      <c r="W26" s="57" t="s">
        <v>113</v>
      </c>
      <c r="X26" s="60">
        <v>8.6999999999999994E-2</v>
      </c>
      <c r="Y26" s="60"/>
      <c r="Z26" s="41"/>
      <c r="AA26" s="60"/>
      <c r="AB26" s="60">
        <f t="shared" si="8"/>
        <v>8.6999999999999994E-2</v>
      </c>
      <c r="AC26" s="64">
        <f t="shared" si="9"/>
        <v>-74.656520981576307</v>
      </c>
      <c r="AD26" s="64"/>
      <c r="AE26" s="45">
        <f>+AC26*0.2</f>
        <v>-14.931304196315262</v>
      </c>
      <c r="AF26" s="45">
        <f>SUM(AE27:AE30)</f>
        <v>283.31698584052253</v>
      </c>
      <c r="AG26" s="62"/>
      <c r="AH26"/>
      <c r="AI26" s="63" t="s">
        <v>114</v>
      </c>
      <c r="AJ26" s="45">
        <f>STDEV(+AF26,AF33,AF40,AF47,AF54,AF61)</f>
        <v>8.3483860033603392</v>
      </c>
      <c r="AN26" s="18"/>
      <c r="AO26" s="17"/>
      <c r="AP26" s="17"/>
      <c r="AQ26" s="53"/>
      <c r="AR26" s="17"/>
      <c r="AS26" s="22"/>
    </row>
    <row r="27" spans="1:50" x14ac:dyDescent="0.25">
      <c r="I27" s="10"/>
      <c r="M27" s="19" t="s">
        <v>2</v>
      </c>
      <c r="N27" s="10">
        <f>+M25/M26</f>
        <v>17952580.202312142</v>
      </c>
      <c r="O27" s="13" t="s">
        <v>6</v>
      </c>
      <c r="R27"/>
      <c r="S27"/>
      <c r="T27"/>
      <c r="U27"/>
      <c r="V27" s="57"/>
      <c r="W27" s="57" t="s">
        <v>115</v>
      </c>
      <c r="X27" s="41">
        <v>0.36199999999999999</v>
      </c>
      <c r="Y27" s="41"/>
      <c r="Z27" s="41"/>
      <c r="AA27" s="60"/>
      <c r="AB27" s="60">
        <f t="shared" si="8"/>
        <v>0.36199999999999999</v>
      </c>
      <c r="AC27" s="64">
        <f t="shared" si="9"/>
        <v>244.69556338569004</v>
      </c>
      <c r="AD27" s="64"/>
      <c r="AE27" s="45">
        <f t="shared" ref="AE27:AE65" si="11">+AC27*0.2</f>
        <v>48.939112677138013</v>
      </c>
      <c r="AF27" s="62"/>
      <c r="AG27" s="62"/>
      <c r="AH27" s="63"/>
      <c r="AI27" s="63"/>
      <c r="AJ27" s="66"/>
      <c r="AN27" s="18"/>
      <c r="AO27" s="17" t="s">
        <v>57</v>
      </c>
      <c r="AP27" s="36">
        <f t="shared" ref="AP27:AU27" si="12">SUM(AA82:AA87)</f>
        <v>2.4216616003746602E-13</v>
      </c>
      <c r="AQ27" s="36">
        <f t="shared" si="12"/>
        <v>1.3800390292305072E-13</v>
      </c>
      <c r="AR27" s="36">
        <f t="shared" si="12"/>
        <v>1.0575643473518641E-13</v>
      </c>
      <c r="AS27" s="36">
        <f t="shared" si="12"/>
        <v>2.5572259733760977E-13</v>
      </c>
      <c r="AT27" s="36">
        <f t="shared" si="12"/>
        <v>2.3209111202033325E-13</v>
      </c>
      <c r="AU27" s="36">
        <f t="shared" si="12"/>
        <v>2.0482117025062506E-13</v>
      </c>
      <c r="AV27" s="13" t="s">
        <v>22</v>
      </c>
    </row>
    <row r="28" spans="1:50" x14ac:dyDescent="0.25">
      <c r="I28" s="10"/>
      <c r="M28" s="19" t="s">
        <v>2</v>
      </c>
      <c r="N28" s="36">
        <f>+C25/M25</f>
        <v>2.2192151212374508E-19</v>
      </c>
      <c r="O28" s="13" t="s">
        <v>23</v>
      </c>
      <c r="R28"/>
      <c r="S28"/>
      <c r="T28"/>
      <c r="U28"/>
      <c r="V28" s="57"/>
      <c r="W28" s="57" t="s">
        <v>116</v>
      </c>
      <c r="X28" s="41">
        <v>0.71199999999999997</v>
      </c>
      <c r="Y28" s="41"/>
      <c r="Z28" s="41"/>
      <c r="AA28" s="60"/>
      <c r="AB28" s="60">
        <f t="shared" si="8"/>
        <v>0.71199999999999997</v>
      </c>
      <c r="AC28" s="64">
        <f t="shared" si="9"/>
        <v>651.14367076221083</v>
      </c>
      <c r="AD28" s="64"/>
      <c r="AE28" s="45">
        <f t="shared" si="11"/>
        <v>130.22873415244217</v>
      </c>
      <c r="AF28" s="62"/>
      <c r="AG28" s="62"/>
      <c r="AH28" s="63"/>
      <c r="AI28" s="42"/>
      <c r="AJ28"/>
      <c r="AN28" s="18"/>
      <c r="AO28" s="13" t="s">
        <v>54</v>
      </c>
      <c r="AP28" s="11">
        <f>+AP27*AP11</f>
        <v>2.4216616003746602E-13</v>
      </c>
      <c r="AQ28" s="11">
        <f t="shared" ref="AQ28:AU28" si="13">+AQ27*AQ11</f>
        <v>1.3800390292305072E-13</v>
      </c>
      <c r="AR28" s="11">
        <f t="shared" si="13"/>
        <v>2.8875480190369356E-11</v>
      </c>
      <c r="AS28" s="11">
        <f t="shared" si="13"/>
        <v>7.2123380523672423E-12</v>
      </c>
      <c r="AT28" s="11">
        <f t="shared" si="13"/>
        <v>8.6346613857853775E-13</v>
      </c>
      <c r="AU28" s="11">
        <f t="shared" si="13"/>
        <v>2.6054022415189698E-13</v>
      </c>
      <c r="AV28" s="13" t="s">
        <v>22</v>
      </c>
    </row>
    <row r="29" spans="1:50" x14ac:dyDescent="0.25">
      <c r="I29" s="10"/>
      <c r="R29"/>
      <c r="S29"/>
      <c r="T29"/>
      <c r="U29"/>
      <c r="V29" s="57"/>
      <c r="W29" s="57" t="s">
        <v>117</v>
      </c>
      <c r="X29" s="41">
        <v>0.48699999999999999</v>
      </c>
      <c r="Y29" s="41"/>
      <c r="Z29" s="41"/>
      <c r="AA29" s="60"/>
      <c r="AB29" s="60">
        <f t="shared" si="8"/>
        <v>0.48699999999999999</v>
      </c>
      <c r="AC29" s="64">
        <f t="shared" si="9"/>
        <v>389.85560173444742</v>
      </c>
      <c r="AD29" s="64"/>
      <c r="AE29" s="45">
        <f t="shared" si="11"/>
        <v>77.971120346889492</v>
      </c>
      <c r="AF29" s="62"/>
      <c r="AG29" s="62"/>
      <c r="AH29" s="63"/>
      <c r="AI29" s="42"/>
      <c r="AJ29"/>
      <c r="AN29" s="18"/>
      <c r="AQ29" s="53"/>
    </row>
    <row r="30" spans="1:50" x14ac:dyDescent="0.25">
      <c r="H30" s="10"/>
      <c r="J30" s="19"/>
      <c r="K30" s="36"/>
      <c r="R30"/>
      <c r="S30"/>
      <c r="T30"/>
      <c r="U30"/>
      <c r="V30" s="57"/>
      <c r="W30" s="57" t="s">
        <v>118</v>
      </c>
      <c r="X30" s="41">
        <v>0.26400000000000001</v>
      </c>
      <c r="Y30" s="41"/>
      <c r="Z30" s="41"/>
      <c r="AA30" s="60"/>
      <c r="AB30" s="60">
        <f t="shared" si="8"/>
        <v>0.26400000000000001</v>
      </c>
      <c r="AC30" s="64">
        <f t="shared" si="9"/>
        <v>130.89009332026424</v>
      </c>
      <c r="AD30" s="64"/>
      <c r="AE30" s="45">
        <f t="shared" si="11"/>
        <v>26.17801866405285</v>
      </c>
      <c r="AF30" s="62"/>
      <c r="AG30" s="62"/>
      <c r="AH30" s="63"/>
      <c r="AI30" s="63"/>
      <c r="AJ30"/>
      <c r="AN30" s="18"/>
    </row>
    <row r="31" spans="1:50" x14ac:dyDescent="0.25">
      <c r="H31" s="10"/>
      <c r="J31" s="19"/>
      <c r="K31" s="36"/>
      <c r="M31" s="13" t="s">
        <v>61</v>
      </c>
      <c r="R31"/>
      <c r="S31"/>
      <c r="T31"/>
      <c r="U31"/>
      <c r="V31" s="57"/>
      <c r="W31" s="57" t="s">
        <v>119</v>
      </c>
      <c r="X31" s="41">
        <v>0.13</v>
      </c>
      <c r="Y31" s="41"/>
      <c r="Z31" s="41"/>
      <c r="AA31" s="60"/>
      <c r="AB31" s="60">
        <f t="shared" si="8"/>
        <v>0.13</v>
      </c>
      <c r="AC31" s="64">
        <f t="shared" si="9"/>
        <v>-24.721467789603732</v>
      </c>
      <c r="AD31" s="64"/>
      <c r="AE31" s="45">
        <f t="shared" si="11"/>
        <v>-4.944293557920747</v>
      </c>
      <c r="AF31" s="62"/>
      <c r="AG31" s="62"/>
      <c r="AH31" s="63"/>
      <c r="AI31" s="67"/>
      <c r="AJ31"/>
      <c r="AN31" s="18"/>
      <c r="AO31" s="17" t="s">
        <v>85</v>
      </c>
      <c r="AP31" s="9">
        <f>SUM(T81:T85)</f>
        <v>283.31698584052253</v>
      </c>
      <c r="AQ31" s="9">
        <f>SUM(U81:U85)</f>
        <v>275.65253581570818</v>
      </c>
      <c r="AR31" s="9">
        <f>SUM(V81:V85)</f>
        <v>268.15342558284925</v>
      </c>
      <c r="AS31" s="9">
        <f>SUM(W81:W84)</f>
        <v>271.93643883397993</v>
      </c>
      <c r="AT31" s="9">
        <f>SUM(X81:X85)</f>
        <v>258.46558727521523</v>
      </c>
      <c r="AU31" s="9">
        <f>SUM(Y81:Y86)</f>
        <v>267.98808579089376</v>
      </c>
      <c r="AV31" s="13" t="s">
        <v>51</v>
      </c>
    </row>
    <row r="32" spans="1:50" x14ac:dyDescent="0.25">
      <c r="A32" s="14" t="s">
        <v>36</v>
      </c>
      <c r="B32" s="17" t="s">
        <v>39</v>
      </c>
      <c r="C32" s="17" t="s">
        <v>67</v>
      </c>
      <c r="D32" s="17"/>
      <c r="E32" s="17"/>
      <c r="F32" s="36">
        <f>0.46/0.094/489.53</f>
        <v>9.996562051920406E-3</v>
      </c>
      <c r="H32" s="36">
        <v>0.01</v>
      </c>
      <c r="I32" s="17" t="s">
        <v>92</v>
      </c>
      <c r="J32" s="9"/>
      <c r="K32" s="36">
        <f>0.01*1/100</f>
        <v>1E-4</v>
      </c>
      <c r="R32"/>
      <c r="S32"/>
      <c r="T32"/>
      <c r="U32"/>
      <c r="V32" s="57"/>
      <c r="W32" s="57" t="s">
        <v>120</v>
      </c>
      <c r="X32" s="41">
        <v>0.104</v>
      </c>
      <c r="Y32" s="41"/>
      <c r="Z32" s="41"/>
      <c r="AA32" s="60"/>
      <c r="AB32" s="60">
        <f t="shared" si="8"/>
        <v>0.104</v>
      </c>
      <c r="AC32" s="64">
        <f t="shared" si="9"/>
        <v>-54.914755766145291</v>
      </c>
      <c r="AD32" s="64"/>
      <c r="AE32" s="45">
        <f t="shared" si="11"/>
        <v>-10.98295115322906</v>
      </c>
      <c r="AF32" s="62"/>
      <c r="AG32" s="62"/>
      <c r="AH32" s="63"/>
      <c r="AI32" s="42"/>
      <c r="AJ32"/>
      <c r="AN32" s="18"/>
      <c r="AO32" s="17"/>
      <c r="AP32" s="52">
        <f>+AP31/1000</f>
        <v>0.28331698584052256</v>
      </c>
      <c r="AQ32" s="54">
        <f t="shared" ref="AQ32:AU32" si="14">+AQ31/1000</f>
        <v>0.2756525358157082</v>
      </c>
      <c r="AR32" s="52">
        <f t="shared" si="14"/>
        <v>0.26815342558284927</v>
      </c>
      <c r="AS32" s="52">
        <f t="shared" si="14"/>
        <v>0.27193643883397994</v>
      </c>
      <c r="AT32" s="52">
        <f t="shared" si="14"/>
        <v>0.25846558727521524</v>
      </c>
      <c r="AU32" s="52">
        <f t="shared" si="14"/>
        <v>0.26798808579089378</v>
      </c>
      <c r="AV32" s="13" t="s">
        <v>53</v>
      </c>
    </row>
    <row r="33" spans="1:48" x14ac:dyDescent="0.25">
      <c r="A33" s="18"/>
      <c r="B33" s="17" t="s">
        <v>37</v>
      </c>
      <c r="C33" s="17"/>
      <c r="D33" s="17"/>
      <c r="E33" s="17"/>
      <c r="F33" s="17"/>
      <c r="G33" s="17" t="s">
        <v>38</v>
      </c>
      <c r="H33" s="36">
        <f>+K32</f>
        <v>1E-4</v>
      </c>
      <c r="I33" s="33" t="s">
        <v>93</v>
      </c>
      <c r="J33" s="9"/>
      <c r="K33" s="36">
        <f>+H33*0.1</f>
        <v>1.0000000000000001E-5</v>
      </c>
      <c r="L33" s="39" t="s">
        <v>41</v>
      </c>
      <c r="M33" s="48">
        <f>+K33*0.01/0.12</f>
        <v>8.3333333333333344E-7</v>
      </c>
      <c r="R33"/>
      <c r="S33"/>
      <c r="T33"/>
      <c r="U33"/>
      <c r="V33" s="57" t="s">
        <v>121</v>
      </c>
      <c r="W33" s="57" t="str">
        <f>+W26</f>
        <v>E6</v>
      </c>
      <c r="X33" s="41">
        <v>0.106</v>
      </c>
      <c r="Y33" s="41"/>
      <c r="Z33" s="41"/>
      <c r="AA33" s="60"/>
      <c r="AB33" s="60">
        <f t="shared" si="8"/>
        <v>0.106</v>
      </c>
      <c r="AC33" s="64">
        <f t="shared" si="9"/>
        <v>-52.592195152565168</v>
      </c>
      <c r="AD33" s="64"/>
      <c r="AE33" s="45">
        <f t="shared" si="11"/>
        <v>-10.518439030513035</v>
      </c>
      <c r="AF33" s="45">
        <f>SUM(AE34:AE37)</f>
        <v>275.65253581570818</v>
      </c>
      <c r="AG33" s="62"/>
      <c r="AH33" s="63"/>
      <c r="AI33" s="63"/>
      <c r="AJ33"/>
      <c r="AN33" s="18"/>
    </row>
    <row r="34" spans="1:48" x14ac:dyDescent="0.25">
      <c r="H34" s="11"/>
      <c r="I34" s="16"/>
      <c r="K34" s="11"/>
      <c r="L34" s="21"/>
      <c r="M34" s="48"/>
      <c r="R34"/>
      <c r="S34"/>
      <c r="T34"/>
      <c r="U34"/>
      <c r="V34" s="57"/>
      <c r="W34" s="57" t="str">
        <f t="shared" ref="W34:W60" si="15">+W27</f>
        <v>E7</v>
      </c>
      <c r="X34" s="41">
        <v>0.41699999999999998</v>
      </c>
      <c r="Y34" s="41"/>
      <c r="Z34" s="41"/>
      <c r="AA34" s="60"/>
      <c r="AB34" s="60">
        <f t="shared" si="8"/>
        <v>0.41699999999999998</v>
      </c>
      <c r="AC34" s="64">
        <f t="shared" si="9"/>
        <v>308.56598025914332</v>
      </c>
      <c r="AD34" s="64"/>
      <c r="AE34" s="45">
        <f t="shared" si="11"/>
        <v>61.713196051828668</v>
      </c>
      <c r="AF34" s="62"/>
      <c r="AG34" s="62"/>
      <c r="AH34" s="63"/>
      <c r="AI34" s="42"/>
      <c r="AJ34"/>
      <c r="AN34" s="18"/>
      <c r="AO34" s="17" t="s">
        <v>134</v>
      </c>
      <c r="AP34" s="36">
        <f>+AP28/AP32</f>
        <v>8.5475341098602504E-13</v>
      </c>
      <c r="AQ34" s="54">
        <f t="shared" ref="AQ34:AU34" si="16">+AQ28/AQ32</f>
        <v>5.0064441640150691E-13</v>
      </c>
      <c r="AR34" s="36">
        <f t="shared" si="16"/>
        <v>1.0768268250762258E-10</v>
      </c>
      <c r="AS34" s="36">
        <f t="shared" si="16"/>
        <v>2.652214643720642E-11</v>
      </c>
      <c r="AT34" s="36">
        <f t="shared" si="16"/>
        <v>3.3407392747380153E-12</v>
      </c>
      <c r="AU34" s="36">
        <f t="shared" si="16"/>
        <v>9.7220823598550474E-13</v>
      </c>
      <c r="AV34" s="13" t="s">
        <v>52</v>
      </c>
    </row>
    <row r="35" spans="1:48" x14ac:dyDescent="0.25">
      <c r="A35" s="14"/>
      <c r="L35" s="21"/>
      <c r="M35" s="48"/>
      <c r="R35"/>
      <c r="S35"/>
      <c r="T35"/>
      <c r="U35"/>
      <c r="V35" s="57"/>
      <c r="W35" s="57" t="str">
        <f t="shared" si="15"/>
        <v>E8</v>
      </c>
      <c r="X35" s="41">
        <v>0.72199999999999998</v>
      </c>
      <c r="Y35" s="41"/>
      <c r="Z35" s="41"/>
      <c r="AA35" s="60"/>
      <c r="AB35" s="60">
        <f t="shared" si="8"/>
        <v>0.72199999999999998</v>
      </c>
      <c r="AC35" s="64">
        <f t="shared" si="9"/>
        <v>662.75647383011142</v>
      </c>
      <c r="AD35" s="64"/>
      <c r="AE35" s="45">
        <f t="shared" si="11"/>
        <v>132.55129476602229</v>
      </c>
      <c r="AF35" s="62"/>
      <c r="AG35" s="62"/>
      <c r="AH35" s="63"/>
      <c r="AI35" s="42"/>
      <c r="AJ35"/>
      <c r="AN35" s="18"/>
      <c r="AO35" s="18"/>
      <c r="AP35" s="17"/>
    </row>
    <row r="36" spans="1:48" x14ac:dyDescent="0.25">
      <c r="L36" s="21"/>
      <c r="M36" s="48"/>
      <c r="R36"/>
      <c r="S36"/>
      <c r="T36"/>
      <c r="U36"/>
      <c r="V36" s="57"/>
      <c r="W36" s="57" t="str">
        <f t="shared" si="15"/>
        <v>E9</v>
      </c>
      <c r="X36" s="41">
        <v>0.46100000000000002</v>
      </c>
      <c r="Y36" s="41"/>
      <c r="Z36" s="41"/>
      <c r="AA36" s="60"/>
      <c r="AB36" s="60">
        <f t="shared" si="8"/>
        <v>0.46100000000000002</v>
      </c>
      <c r="AC36" s="64">
        <f t="shared" si="9"/>
        <v>359.66231375790602</v>
      </c>
      <c r="AD36" s="64"/>
      <c r="AE36" s="45">
        <f t="shared" si="11"/>
        <v>71.932462751581213</v>
      </c>
      <c r="AF36" s="62"/>
      <c r="AG36" s="62"/>
      <c r="AH36" s="63"/>
      <c r="AI36" s="63"/>
      <c r="AJ36"/>
      <c r="AN36" s="18"/>
      <c r="AO36" s="18"/>
      <c r="AP36" s="17"/>
    </row>
    <row r="37" spans="1:48" x14ac:dyDescent="0.25">
      <c r="A37" s="14" t="s">
        <v>68</v>
      </c>
      <c r="B37" s="38" t="s">
        <v>69</v>
      </c>
      <c r="H37" s="36">
        <v>0.01</v>
      </c>
      <c r="I37" s="17" t="s">
        <v>92</v>
      </c>
      <c r="J37" s="9"/>
      <c r="K37" s="36">
        <f>0.01*1/100</f>
        <v>1E-4</v>
      </c>
      <c r="R37"/>
      <c r="S37"/>
      <c r="T37"/>
      <c r="U37"/>
      <c r="V37" s="57"/>
      <c r="W37" s="57" t="str">
        <f t="shared" si="15"/>
        <v>E10</v>
      </c>
      <c r="X37" s="41">
        <v>0.192</v>
      </c>
      <c r="Y37" s="41"/>
      <c r="Z37" s="41"/>
      <c r="AA37" s="60"/>
      <c r="AB37" s="60">
        <f t="shared" si="8"/>
        <v>0.192</v>
      </c>
      <c r="AC37" s="64">
        <f t="shared" si="9"/>
        <v>47.277911231379953</v>
      </c>
      <c r="AD37" s="64"/>
      <c r="AE37" s="45">
        <f t="shared" si="11"/>
        <v>9.4555822462759913</v>
      </c>
      <c r="AF37" s="62"/>
      <c r="AG37" s="62"/>
      <c r="AH37" s="63"/>
      <c r="AI37" s="67"/>
      <c r="AJ37"/>
      <c r="AN37" s="18"/>
      <c r="AO37" s="18"/>
      <c r="AP37" s="21" t="s">
        <v>86</v>
      </c>
      <c r="AQ37" s="13" t="s">
        <v>55</v>
      </c>
    </row>
    <row r="38" spans="1:48" x14ac:dyDescent="0.25">
      <c r="G38" s="13" t="s">
        <v>38</v>
      </c>
      <c r="H38" s="11">
        <f>+K37</f>
        <v>1E-4</v>
      </c>
      <c r="I38" s="33" t="s">
        <v>93</v>
      </c>
      <c r="J38" s="10"/>
      <c r="K38" s="11">
        <f>+H38*0.1</f>
        <v>1.0000000000000001E-5</v>
      </c>
      <c r="L38" s="19" t="s">
        <v>71</v>
      </c>
      <c r="M38" s="48">
        <f>+K38/1.2/10</f>
        <v>8.3333333333333333E-7</v>
      </c>
      <c r="R38"/>
      <c r="S38"/>
      <c r="T38"/>
      <c r="U38"/>
      <c r="V38" s="57"/>
      <c r="W38" s="57" t="str">
        <f t="shared" si="15"/>
        <v>E11</v>
      </c>
      <c r="X38" s="41">
        <v>0.11899999999999999</v>
      </c>
      <c r="Y38" s="41"/>
      <c r="Z38" s="41"/>
      <c r="AA38" s="60"/>
      <c r="AB38" s="60">
        <f t="shared" si="8"/>
        <v>0.11899999999999999</v>
      </c>
      <c r="AC38" s="64">
        <f t="shared" si="9"/>
        <v>-37.495551164294397</v>
      </c>
      <c r="AD38" s="64"/>
      <c r="AE38" s="45">
        <f t="shared" si="11"/>
        <v>-7.4991102328588797</v>
      </c>
      <c r="AF38" s="62"/>
      <c r="AG38" s="62"/>
      <c r="AH38" s="63"/>
      <c r="AI38" s="42"/>
      <c r="AJ38"/>
      <c r="AN38" s="18"/>
      <c r="AO38" s="17"/>
      <c r="AP38" s="22">
        <f>+AS20</f>
        <v>3.0633023461708717</v>
      </c>
      <c r="AQ38" s="11">
        <f>+AP34</f>
        <v>8.5475341098602504E-13</v>
      </c>
    </row>
    <row r="39" spans="1:48" x14ac:dyDescent="0.25">
      <c r="H39" s="11">
        <f>+K38</f>
        <v>1.0000000000000001E-5</v>
      </c>
      <c r="I39" s="13" t="s">
        <v>70</v>
      </c>
      <c r="J39" s="10"/>
      <c r="K39" s="11">
        <f t="shared" ref="K39" si="17">+H39*0.1</f>
        <v>1.0000000000000002E-6</v>
      </c>
      <c r="L39" s="19" t="s">
        <v>72</v>
      </c>
      <c r="M39" s="48">
        <f t="shared" ref="M39:M41" si="18">+K39/1.2/10</f>
        <v>8.3333333333333352E-8</v>
      </c>
      <c r="R39"/>
      <c r="S39"/>
      <c r="T39"/>
      <c r="U39"/>
      <c r="V39" s="57"/>
      <c r="W39" s="57" t="str">
        <f t="shared" si="15"/>
        <v>E12</v>
      </c>
      <c r="X39" s="41">
        <v>9.5000000000000001E-2</v>
      </c>
      <c r="Y39" s="41"/>
      <c r="Z39" s="41"/>
      <c r="AA39" s="60"/>
      <c r="AB39" s="60">
        <f t="shared" si="8"/>
        <v>9.5000000000000001E-2</v>
      </c>
      <c r="AC39" s="64">
        <f t="shared" si="9"/>
        <v>-65.366278527255815</v>
      </c>
      <c r="AD39" s="64"/>
      <c r="AE39" s="45">
        <f t="shared" si="11"/>
        <v>-13.073255705451164</v>
      </c>
      <c r="AF39" s="62"/>
      <c r="AG39" s="62"/>
      <c r="AH39" s="63"/>
      <c r="AI39" s="63"/>
      <c r="AJ39"/>
      <c r="AN39" s="18"/>
      <c r="AP39" s="22">
        <f t="shared" ref="AP39:AP42" si="19">+AS21</f>
        <v>836.39663567950424</v>
      </c>
      <c r="AQ39" s="11">
        <f>+AR34</f>
        <v>1.0768268250762258E-10</v>
      </c>
    </row>
    <row r="40" spans="1:48" x14ac:dyDescent="0.25">
      <c r="H40" s="11">
        <f t="shared" ref="H40:H41" si="20">+K39</f>
        <v>1.0000000000000002E-6</v>
      </c>
      <c r="I40" s="13" t="s">
        <v>70</v>
      </c>
      <c r="J40" s="10"/>
      <c r="K40" s="11">
        <f t="shared" ref="K40:K41" si="21">+H40*0.1</f>
        <v>1.0000000000000002E-7</v>
      </c>
      <c r="L40" s="19" t="s">
        <v>73</v>
      </c>
      <c r="M40" s="48">
        <f t="shared" si="18"/>
        <v>8.3333333333333352E-9</v>
      </c>
      <c r="R40"/>
      <c r="S40"/>
      <c r="T40"/>
      <c r="U40"/>
      <c r="V40" s="57" t="s">
        <v>122</v>
      </c>
      <c r="W40" s="57" t="str">
        <f t="shared" si="15"/>
        <v>E6</v>
      </c>
      <c r="X40" s="41">
        <v>9.2999999999999999E-2</v>
      </c>
      <c r="Y40" s="41"/>
      <c r="Z40" s="41"/>
      <c r="AA40" s="60"/>
      <c r="AB40" s="60">
        <f t="shared" si="8"/>
        <v>9.2999999999999999E-2</v>
      </c>
      <c r="AC40" s="64">
        <f t="shared" si="9"/>
        <v>-67.688839140835938</v>
      </c>
      <c r="AD40" s="64"/>
      <c r="AE40" s="45">
        <f t="shared" si="11"/>
        <v>-13.537767828167189</v>
      </c>
      <c r="AF40" s="45">
        <f>SUM(AE41:AE45)</f>
        <v>268.15342558284925</v>
      </c>
      <c r="AG40" s="62"/>
      <c r="AH40" s="63"/>
      <c r="AI40" s="42"/>
      <c r="AJ40"/>
      <c r="AP40" s="22">
        <f t="shared" si="19"/>
        <v>86.396635679504215</v>
      </c>
      <c r="AQ40" s="11">
        <f>+AS34</f>
        <v>2.652214643720642E-11</v>
      </c>
    </row>
    <row r="41" spans="1:48" x14ac:dyDescent="0.25">
      <c r="H41" s="11">
        <f t="shared" si="20"/>
        <v>1.0000000000000002E-7</v>
      </c>
      <c r="I41" s="13" t="s">
        <v>70</v>
      </c>
      <c r="J41" s="10"/>
      <c r="K41" s="11">
        <f t="shared" si="21"/>
        <v>1.0000000000000004E-8</v>
      </c>
      <c r="L41" s="19" t="s">
        <v>74</v>
      </c>
      <c r="M41" s="48">
        <f t="shared" si="18"/>
        <v>8.3333333333333366E-10</v>
      </c>
      <c r="R41"/>
      <c r="S41"/>
      <c r="T41"/>
      <c r="U41"/>
      <c r="V41" s="57"/>
      <c r="W41" s="57" t="str">
        <f t="shared" si="15"/>
        <v>E7</v>
      </c>
      <c r="X41" s="41">
        <v>0.28199999999999997</v>
      </c>
      <c r="Y41" s="41"/>
      <c r="Z41" s="41"/>
      <c r="AA41" s="60"/>
      <c r="AB41" s="60">
        <f t="shared" si="8"/>
        <v>0.28199999999999997</v>
      </c>
      <c r="AC41" s="64">
        <f t="shared" si="9"/>
        <v>151.79313884248526</v>
      </c>
      <c r="AD41" s="64"/>
      <c r="AE41" s="45">
        <f t="shared" si="11"/>
        <v>30.358627768497055</v>
      </c>
      <c r="AF41" s="62"/>
      <c r="AG41" s="62"/>
      <c r="AH41" s="63"/>
      <c r="AI41" s="42"/>
      <c r="AJ41"/>
      <c r="AP41" s="22">
        <f t="shared" si="19"/>
        <v>11.396635679504207</v>
      </c>
      <c r="AQ41" s="11">
        <f>+AT34</f>
        <v>3.3407392747380153E-12</v>
      </c>
    </row>
    <row r="42" spans="1:48" x14ac:dyDescent="0.25">
      <c r="R42"/>
      <c r="S42"/>
      <c r="T42"/>
      <c r="U42"/>
      <c r="V42" s="57"/>
      <c r="W42" s="57" t="str">
        <f t="shared" si="15"/>
        <v>E8</v>
      </c>
      <c r="X42" s="41">
        <v>0.65800000000000003</v>
      </c>
      <c r="Y42" s="41"/>
      <c r="Z42" s="41"/>
      <c r="AA42" s="60"/>
      <c r="AB42" s="60">
        <f t="shared" si="8"/>
        <v>0.65800000000000003</v>
      </c>
      <c r="AC42" s="64">
        <f t="shared" si="9"/>
        <v>588.4345341955476</v>
      </c>
      <c r="AD42" s="64"/>
      <c r="AE42" s="45">
        <f t="shared" si="11"/>
        <v>117.68690683910953</v>
      </c>
      <c r="AF42" s="62"/>
      <c r="AG42" s="62"/>
      <c r="AH42" s="63"/>
      <c r="AI42" s="63"/>
      <c r="AJ42"/>
      <c r="AP42" s="22">
        <f t="shared" si="19"/>
        <v>3.8966356795042052</v>
      </c>
      <c r="AQ42" s="11">
        <f>+AU34</f>
        <v>9.7220823598550474E-13</v>
      </c>
    </row>
    <row r="43" spans="1:48" x14ac:dyDescent="0.25">
      <c r="R43"/>
      <c r="S43"/>
      <c r="T43"/>
      <c r="U43"/>
      <c r="V43" s="57"/>
      <c r="W43" s="57" t="str">
        <f t="shared" si="15"/>
        <v>E9</v>
      </c>
      <c r="X43" s="41">
        <v>0.54300000000000004</v>
      </c>
      <c r="Y43" s="41"/>
      <c r="Z43" s="41"/>
      <c r="AA43" s="60"/>
      <c r="AB43" s="60">
        <f t="shared" si="8"/>
        <v>0.54300000000000004</v>
      </c>
      <c r="AC43" s="64">
        <f t="shared" si="9"/>
        <v>454.8872989146908</v>
      </c>
      <c r="AD43" s="64"/>
      <c r="AE43" s="45">
        <f t="shared" si="11"/>
        <v>90.977459782938169</v>
      </c>
      <c r="AF43" s="62"/>
      <c r="AG43"/>
      <c r="AH43" s="68"/>
      <c r="AI43" s="67"/>
      <c r="AJ43"/>
    </row>
    <row r="44" spans="1:48" x14ac:dyDescent="0.25">
      <c r="S44"/>
      <c r="T44"/>
      <c r="U44"/>
      <c r="V44" s="57"/>
      <c r="W44" s="57" t="str">
        <f t="shared" si="15"/>
        <v>E10</v>
      </c>
      <c r="X44" s="41">
        <v>0.27400000000000002</v>
      </c>
      <c r="Y44" s="69"/>
      <c r="Z44" s="69"/>
      <c r="AA44" s="70"/>
      <c r="AB44" s="60">
        <f t="shared" si="8"/>
        <v>0.27400000000000002</v>
      </c>
      <c r="AC44" s="64">
        <f t="shared" si="9"/>
        <v>142.50289638816486</v>
      </c>
      <c r="AD44" s="71"/>
      <c r="AE44" s="45">
        <f t="shared" si="11"/>
        <v>28.500579277632973</v>
      </c>
      <c r="AF44" s="42"/>
      <c r="AG44" s="71"/>
      <c r="AH44" s="68"/>
      <c r="AI44" s="42"/>
      <c r="AJ44"/>
    </row>
    <row r="45" spans="1:48" x14ac:dyDescent="0.25">
      <c r="S45"/>
      <c r="T45"/>
      <c r="U45"/>
      <c r="V45" s="57"/>
      <c r="W45" s="57" t="str">
        <f t="shared" si="15"/>
        <v>E11</v>
      </c>
      <c r="X45" s="41">
        <v>0.154</v>
      </c>
      <c r="Y45" s="69"/>
      <c r="Z45" s="69"/>
      <c r="AA45" s="70"/>
      <c r="AB45" s="60">
        <f t="shared" si="8"/>
        <v>0.154</v>
      </c>
      <c r="AC45" s="64">
        <f t="shared" si="9"/>
        <v>3.1492595733576851</v>
      </c>
      <c r="AD45" s="71"/>
      <c r="AE45" s="45">
        <f t="shared" si="11"/>
        <v>0.62985191467153712</v>
      </c>
      <c r="AF45" s="71"/>
      <c r="AG45" s="71"/>
      <c r="AH45" s="68"/>
      <c r="AI45" s="42"/>
      <c r="AJ45"/>
    </row>
    <row r="46" spans="1:48" x14ac:dyDescent="0.25">
      <c r="S46"/>
      <c r="T46"/>
      <c r="U46"/>
      <c r="V46" s="57"/>
      <c r="W46" s="57" t="str">
        <f t="shared" si="15"/>
        <v>E12</v>
      </c>
      <c r="X46" s="41">
        <v>0.109</v>
      </c>
      <c r="Y46" s="69"/>
      <c r="Z46" s="69"/>
      <c r="AA46" s="70"/>
      <c r="AB46" s="60">
        <f t="shared" si="8"/>
        <v>0.109</v>
      </c>
      <c r="AC46" s="64">
        <f t="shared" si="9"/>
        <v>-49.108354232194991</v>
      </c>
      <c r="AD46" s="71"/>
      <c r="AE46" s="45">
        <f t="shared" si="11"/>
        <v>-9.8216708464389981</v>
      </c>
      <c r="AF46" s="42"/>
      <c r="AG46" s="71"/>
      <c r="AH46" s="68"/>
      <c r="AI46" s="42"/>
      <c r="AJ46"/>
    </row>
    <row r="47" spans="1:48" x14ac:dyDescent="0.25">
      <c r="S47"/>
      <c r="T47"/>
      <c r="U47"/>
      <c r="V47" s="57" t="s">
        <v>123</v>
      </c>
      <c r="W47" s="57" t="str">
        <f t="shared" si="15"/>
        <v>E6</v>
      </c>
      <c r="X47" s="41">
        <v>8.3000000000000004E-2</v>
      </c>
      <c r="Y47" s="69"/>
      <c r="Z47" s="69"/>
      <c r="AA47" s="70"/>
      <c r="AB47" s="60">
        <f t="shared" si="8"/>
        <v>8.3000000000000004E-2</v>
      </c>
      <c r="AC47" s="64">
        <f t="shared" si="9"/>
        <v>-79.301642208736524</v>
      </c>
      <c r="AD47" s="71"/>
      <c r="AE47" s="45">
        <f t="shared" si="11"/>
        <v>-15.860328441747306</v>
      </c>
      <c r="AF47" s="45">
        <f>SUM(AE48:AE51)</f>
        <v>271.93643883397993</v>
      </c>
      <c r="AG47" s="71"/>
      <c r="AH47" s="68"/>
      <c r="AI47" s="42"/>
      <c r="AJ47"/>
    </row>
    <row r="48" spans="1:48" x14ac:dyDescent="0.25">
      <c r="S48"/>
      <c r="T48"/>
      <c r="U48"/>
      <c r="V48" s="57"/>
      <c r="W48" s="57" t="str">
        <f t="shared" si="15"/>
        <v>E7</v>
      </c>
      <c r="X48" s="41">
        <v>0.31</v>
      </c>
      <c r="Y48" s="69"/>
      <c r="Z48" s="69"/>
      <c r="AA48" s="70"/>
      <c r="AB48" s="60">
        <f t="shared" si="8"/>
        <v>0.31</v>
      </c>
      <c r="AC48" s="64">
        <f t="shared" si="9"/>
        <v>184.30898743260695</v>
      </c>
      <c r="AD48" s="71"/>
      <c r="AE48" s="45">
        <f t="shared" si="11"/>
        <v>36.86179748652139</v>
      </c>
      <c r="AF48" s="42"/>
      <c r="AG48" s="71"/>
      <c r="AH48" s="68"/>
      <c r="AI48" s="67"/>
      <c r="AJ48"/>
    </row>
    <row r="49" spans="1:36" x14ac:dyDescent="0.25">
      <c r="S49"/>
      <c r="T49"/>
      <c r="U49"/>
      <c r="V49" s="57"/>
      <c r="W49" s="57" t="str">
        <f t="shared" si="15"/>
        <v>E8</v>
      </c>
      <c r="X49" s="41">
        <v>0.64500000000000002</v>
      </c>
      <c r="Y49" s="69"/>
      <c r="Z49" s="69"/>
      <c r="AA49" s="70"/>
      <c r="AB49" s="60">
        <f t="shared" si="8"/>
        <v>0.64500000000000002</v>
      </c>
      <c r="AC49" s="64">
        <f t="shared" si="9"/>
        <v>573.33789020727681</v>
      </c>
      <c r="AD49" s="71"/>
      <c r="AE49" s="45">
        <f t="shared" si="11"/>
        <v>114.66757804145537</v>
      </c>
      <c r="AF49" s="42"/>
      <c r="AG49" s="71"/>
      <c r="AH49" s="68"/>
      <c r="AI49" s="67"/>
      <c r="AJ49"/>
    </row>
    <row r="50" spans="1:36" x14ac:dyDescent="0.25">
      <c r="S50"/>
      <c r="T50"/>
      <c r="U50"/>
      <c r="V50" s="57"/>
      <c r="W50" s="57" t="str">
        <f t="shared" si="15"/>
        <v>E9</v>
      </c>
      <c r="X50" s="41">
        <v>0.54600000000000004</v>
      </c>
      <c r="Y50" s="69"/>
      <c r="Z50" s="69"/>
      <c r="AA50" s="70"/>
      <c r="AB50" s="60">
        <f t="shared" si="8"/>
        <v>0.54600000000000004</v>
      </c>
      <c r="AC50" s="64">
        <f t="shared" si="9"/>
        <v>458.371139835061</v>
      </c>
      <c r="AD50" s="71"/>
      <c r="AE50" s="45">
        <f t="shared" si="11"/>
        <v>91.6742279670122</v>
      </c>
      <c r="AF50" s="42"/>
      <c r="AG50" s="71"/>
      <c r="AH50" s="68"/>
      <c r="AI50" s="42"/>
      <c r="AJ50"/>
    </row>
    <row r="51" spans="1:36" x14ac:dyDescent="0.25">
      <c r="S51"/>
      <c r="T51"/>
      <c r="U51"/>
      <c r="V51" s="57"/>
      <c r="W51" s="57" t="str">
        <f t="shared" si="15"/>
        <v>E10</v>
      </c>
      <c r="X51" s="41">
        <v>0.27500000000000002</v>
      </c>
      <c r="Y51" s="69"/>
      <c r="Z51" s="69"/>
      <c r="AA51" s="70"/>
      <c r="AB51" s="60">
        <f t="shared" si="8"/>
        <v>0.27500000000000002</v>
      </c>
      <c r="AC51" s="64">
        <f t="shared" si="9"/>
        <v>143.6641766949549</v>
      </c>
      <c r="AD51" s="71"/>
      <c r="AE51" s="45">
        <f t="shared" si="11"/>
        <v>28.732835338990981</v>
      </c>
      <c r="AF51" s="42"/>
      <c r="AG51" s="71"/>
      <c r="AH51" s="68"/>
      <c r="AI51" s="42"/>
      <c r="AJ51"/>
    </row>
    <row r="52" spans="1:36" x14ac:dyDescent="0.25">
      <c r="S52"/>
      <c r="T52"/>
      <c r="U52"/>
      <c r="V52" s="57"/>
      <c r="W52" s="57" t="str">
        <f t="shared" si="15"/>
        <v>E11</v>
      </c>
      <c r="X52" s="41">
        <v>0.14499999999999999</v>
      </c>
      <c r="Y52" s="69"/>
      <c r="Z52" s="69"/>
      <c r="AA52" s="70"/>
      <c r="AB52" s="60">
        <f t="shared" si="8"/>
        <v>0.14499999999999999</v>
      </c>
      <c r="AC52" s="64">
        <f t="shared" si="9"/>
        <v>-7.3022631877528594</v>
      </c>
      <c r="AD52" s="71"/>
      <c r="AE52" s="45">
        <f t="shared" si="11"/>
        <v>-1.460452637550572</v>
      </c>
      <c r="AF52" s="42"/>
      <c r="AG52" s="71"/>
      <c r="AH52" s="68"/>
      <c r="AI52" s="42"/>
      <c r="AJ52"/>
    </row>
    <row r="53" spans="1:36" x14ac:dyDescent="0.25">
      <c r="A53" s="14" t="s">
        <v>29</v>
      </c>
      <c r="S53"/>
      <c r="T53"/>
      <c r="U53"/>
      <c r="V53" s="57"/>
      <c r="W53" s="57" t="str">
        <f t="shared" si="15"/>
        <v>E12</v>
      </c>
      <c r="X53" s="41">
        <v>0.115</v>
      </c>
      <c r="Y53" s="69"/>
      <c r="Z53" s="42"/>
      <c r="AA53" s="70"/>
      <c r="AB53" s="60">
        <f t="shared" si="8"/>
        <v>0.115</v>
      </c>
      <c r="AC53" s="64">
        <f t="shared" si="9"/>
        <v>-42.140672391454622</v>
      </c>
      <c r="AD53" s="71"/>
      <c r="AE53" s="45">
        <f t="shared" si="11"/>
        <v>-8.4281344782909251</v>
      </c>
      <c r="AF53" s="42"/>
      <c r="AG53" s="71"/>
      <c r="AH53" s="68"/>
      <c r="AI53" s="42"/>
      <c r="AJ53"/>
    </row>
    <row r="54" spans="1:36" x14ac:dyDescent="0.25">
      <c r="B54" s="13">
        <v>100</v>
      </c>
      <c r="C54" s="13" t="s">
        <v>3</v>
      </c>
      <c r="D54" s="17" t="s">
        <v>128</v>
      </c>
      <c r="J54" s="17" t="s">
        <v>131</v>
      </c>
      <c r="S54"/>
      <c r="T54"/>
      <c r="U54"/>
      <c r="V54" s="57" t="s">
        <v>124</v>
      </c>
      <c r="W54" s="57" t="str">
        <f t="shared" si="15"/>
        <v>E6</v>
      </c>
      <c r="X54" s="41">
        <v>0.09</v>
      </c>
      <c r="Y54" s="69"/>
      <c r="Z54" s="42"/>
      <c r="AA54" s="70"/>
      <c r="AB54" s="60">
        <f t="shared" si="8"/>
        <v>0.09</v>
      </c>
      <c r="AC54" s="64">
        <f t="shared" si="9"/>
        <v>-71.172680061206123</v>
      </c>
      <c r="AD54" s="71"/>
      <c r="AE54" s="45">
        <f t="shared" si="11"/>
        <v>-14.234536012241225</v>
      </c>
      <c r="AF54" s="45">
        <f>SUM(AE55:AE58)</f>
        <v>258.46558727521523</v>
      </c>
      <c r="AG54" s="71"/>
      <c r="AH54" s="68"/>
      <c r="AI54" s="67"/>
      <c r="AJ54"/>
    </row>
    <row r="55" spans="1:36" x14ac:dyDescent="0.25">
      <c r="B55" s="19" t="s">
        <v>30</v>
      </c>
      <c r="C55" s="13" t="s">
        <v>3</v>
      </c>
      <c r="D55" s="13" t="s">
        <v>94</v>
      </c>
      <c r="H55" s="36">
        <f>10*E21/120</f>
        <v>3.0633023461708716E-9</v>
      </c>
      <c r="I55" s="10" t="s">
        <v>11</v>
      </c>
      <c r="J55" s="13" t="s">
        <v>42</v>
      </c>
      <c r="S55"/>
      <c r="T55"/>
      <c r="U55"/>
      <c r="V55" s="57"/>
      <c r="W55" s="57" t="str">
        <f t="shared" si="15"/>
        <v>E7</v>
      </c>
      <c r="X55" s="41">
        <v>0.32500000000000001</v>
      </c>
      <c r="Y55" s="69"/>
      <c r="Z55" s="42"/>
      <c r="AA55" s="70"/>
      <c r="AB55" s="60">
        <f t="shared" si="8"/>
        <v>0.32500000000000001</v>
      </c>
      <c r="AC55" s="64">
        <f t="shared" si="9"/>
        <v>201.72819203445786</v>
      </c>
      <c r="AD55" s="71"/>
      <c r="AE55" s="45">
        <f t="shared" si="11"/>
        <v>40.345638406891574</v>
      </c>
      <c r="AF55" s="67"/>
      <c r="AG55" s="71"/>
      <c r="AH55" s="57"/>
      <c r="AI55" s="45"/>
      <c r="AJ55"/>
    </row>
    <row r="56" spans="1:36" x14ac:dyDescent="0.25">
      <c r="B56" s="19" t="s">
        <v>30</v>
      </c>
      <c r="C56" s="13" t="s">
        <v>3</v>
      </c>
      <c r="D56" s="13" t="s">
        <v>75</v>
      </c>
      <c r="I56" s="10"/>
      <c r="S56"/>
      <c r="T56"/>
      <c r="U56"/>
      <c r="V56" s="57"/>
      <c r="W56" s="57" t="str">
        <f t="shared" si="15"/>
        <v>E8</v>
      </c>
      <c r="X56" s="41">
        <v>0.69099999999999995</v>
      </c>
      <c r="Y56" s="69"/>
      <c r="Z56" s="42"/>
      <c r="AA56" s="70"/>
      <c r="AB56" s="60">
        <f t="shared" si="8"/>
        <v>0.69099999999999995</v>
      </c>
      <c r="AC56" s="64">
        <f t="shared" si="9"/>
        <v>626.75678431961956</v>
      </c>
      <c r="AD56" s="71"/>
      <c r="AE56" s="45">
        <f t="shared" si="11"/>
        <v>125.35135686392391</v>
      </c>
      <c r="AF56" s="67"/>
      <c r="AG56" s="71"/>
      <c r="AH56"/>
      <c r="AI56"/>
      <c r="AJ56"/>
    </row>
    <row r="57" spans="1:36" x14ac:dyDescent="0.25">
      <c r="S57"/>
      <c r="T57"/>
      <c r="U57"/>
      <c r="V57" s="57"/>
      <c r="W57" s="57" t="str">
        <f t="shared" si="15"/>
        <v>E9</v>
      </c>
      <c r="X57" s="41">
        <v>0.502</v>
      </c>
      <c r="Y57" s="69"/>
      <c r="Z57" s="42"/>
      <c r="AA57" s="70"/>
      <c r="AB57" s="60">
        <f t="shared" si="8"/>
        <v>0.502</v>
      </c>
      <c r="AC57" s="64">
        <f t="shared" si="9"/>
        <v>407.27480633629835</v>
      </c>
      <c r="AD57" s="71"/>
      <c r="AE57" s="45">
        <f t="shared" si="11"/>
        <v>81.454961267259677</v>
      </c>
      <c r="AF57" s="67"/>
      <c r="AG57" s="71"/>
      <c r="AH57"/>
      <c r="AI57"/>
      <c r="AJ57"/>
    </row>
    <row r="58" spans="1:36" x14ac:dyDescent="0.25">
      <c r="B58" s="13" t="s">
        <v>95</v>
      </c>
      <c r="S58"/>
      <c r="T58"/>
      <c r="U58"/>
      <c r="V58" s="57"/>
      <c r="W58" s="57" t="str">
        <f t="shared" si="15"/>
        <v>E10</v>
      </c>
      <c r="X58" s="41">
        <v>0.2</v>
      </c>
      <c r="Y58" s="42"/>
      <c r="Z58" s="42"/>
      <c r="AA58" s="72"/>
      <c r="AB58" s="60">
        <f t="shared" si="8"/>
        <v>0.2</v>
      </c>
      <c r="AC58" s="64">
        <f t="shared" si="9"/>
        <v>56.568153685700437</v>
      </c>
      <c r="AD58" s="71"/>
      <c r="AE58" s="45">
        <f t="shared" si="11"/>
        <v>11.313630737140087</v>
      </c>
      <c r="AF58" s="42"/>
      <c r="AG58" s="42"/>
      <c r="AH58"/>
      <c r="AI58"/>
      <c r="AJ58"/>
    </row>
    <row r="59" spans="1:36" x14ac:dyDescent="0.25">
      <c r="S59"/>
      <c r="T59"/>
      <c r="U59"/>
      <c r="V59" s="57"/>
      <c r="W59" s="57" t="str">
        <f t="shared" si="15"/>
        <v>E11</v>
      </c>
      <c r="X59" s="41">
        <v>0.123</v>
      </c>
      <c r="Y59" s="42"/>
      <c r="Z59" s="42"/>
      <c r="AA59" s="72"/>
      <c r="AB59" s="60">
        <f t="shared" si="8"/>
        <v>0.123</v>
      </c>
      <c r="AC59" s="64">
        <f t="shared" si="9"/>
        <v>-32.850429937134159</v>
      </c>
      <c r="AD59" s="71"/>
      <c r="AE59" s="45">
        <f t="shared" si="11"/>
        <v>-6.5700859874268325</v>
      </c>
      <c r="AF59" s="42"/>
      <c r="AG59" s="42"/>
      <c r="AH59"/>
      <c r="AI59"/>
      <c r="AJ59"/>
    </row>
    <row r="60" spans="1:36" x14ac:dyDescent="0.25">
      <c r="B60" s="25">
        <v>0.54166666666666663</v>
      </c>
      <c r="C60" s="13" t="s">
        <v>76</v>
      </c>
      <c r="F60" s="13" t="s">
        <v>130</v>
      </c>
      <c r="S60"/>
      <c r="T60"/>
      <c r="U60"/>
      <c r="V60" s="57"/>
      <c r="W60" s="57" t="str">
        <f t="shared" si="15"/>
        <v>E12</v>
      </c>
      <c r="X60" s="41">
        <v>0.09</v>
      </c>
      <c r="Y60" s="42"/>
      <c r="Z60" s="42"/>
      <c r="AA60" s="72"/>
      <c r="AB60" s="60">
        <f t="shared" si="8"/>
        <v>0.09</v>
      </c>
      <c r="AC60" s="64">
        <f t="shared" si="9"/>
        <v>-71.172680061206123</v>
      </c>
      <c r="AD60" s="71"/>
      <c r="AE60" s="45">
        <f t="shared" si="11"/>
        <v>-14.234536012241225</v>
      </c>
      <c r="AF60" s="42"/>
      <c r="AG60" s="42"/>
      <c r="AH60"/>
      <c r="AI60"/>
      <c r="AJ60"/>
    </row>
    <row r="61" spans="1:36" x14ac:dyDescent="0.25">
      <c r="S61"/>
      <c r="T61"/>
      <c r="U61"/>
      <c r="V61" s="57" t="s">
        <v>125</v>
      </c>
      <c r="W61" s="57" t="str">
        <f>+W55</f>
        <v>E7</v>
      </c>
      <c r="X61" s="41">
        <v>0.439</v>
      </c>
      <c r="Y61" s="42"/>
      <c r="Z61" s="42"/>
      <c r="AA61" s="72"/>
      <c r="AB61" s="60">
        <f t="shared" si="8"/>
        <v>0.439</v>
      </c>
      <c r="AC61" s="64">
        <f t="shared" si="9"/>
        <v>334.11414700852464</v>
      </c>
      <c r="AD61" s="71"/>
      <c r="AE61" s="45">
        <f t="shared" si="11"/>
        <v>66.822829401704936</v>
      </c>
      <c r="AF61" s="45">
        <f>SUM(AE61:AE64)</f>
        <v>267.98808579089376</v>
      </c>
      <c r="AG61" s="42"/>
      <c r="AH61"/>
      <c r="AI61"/>
      <c r="AJ61"/>
    </row>
    <row r="62" spans="1:36" x14ac:dyDescent="0.25">
      <c r="B62" s="13" t="s">
        <v>31</v>
      </c>
      <c r="C62" s="13" t="s">
        <v>77</v>
      </c>
      <c r="E62" s="13" t="s">
        <v>32</v>
      </c>
      <c r="S62"/>
      <c r="T62"/>
      <c r="U62"/>
      <c r="V62" s="57"/>
      <c r="W62" s="57" t="str">
        <f>+W56</f>
        <v>E8</v>
      </c>
      <c r="X62" s="41">
        <v>0.68100000000000005</v>
      </c>
      <c r="Y62" s="42"/>
      <c r="Z62" s="42"/>
      <c r="AA62" s="72"/>
      <c r="AB62" s="60">
        <f t="shared" si="8"/>
        <v>0.68100000000000005</v>
      </c>
      <c r="AC62" s="64">
        <f t="shared" si="9"/>
        <v>615.14398125171908</v>
      </c>
      <c r="AD62" s="71"/>
      <c r="AE62" s="45">
        <f t="shared" si="11"/>
        <v>123.02879625034382</v>
      </c>
      <c r="AF62" s="42"/>
      <c r="AG62"/>
      <c r="AH62"/>
      <c r="AI62"/>
      <c r="AJ62"/>
    </row>
    <row r="63" spans="1:36" x14ac:dyDescent="0.25">
      <c r="B63" s="13" t="s">
        <v>59</v>
      </c>
      <c r="E63" s="13" t="s">
        <v>58</v>
      </c>
      <c r="S63"/>
      <c r="T63"/>
      <c r="U63"/>
      <c r="V63"/>
      <c r="W63" s="57" t="str">
        <f>+W57</f>
        <v>E9</v>
      </c>
      <c r="X63" s="41">
        <v>0.44700000000000001</v>
      </c>
      <c r="Y63" s="42"/>
      <c r="Z63" s="42"/>
      <c r="AA63" s="72"/>
      <c r="AB63" s="60">
        <f t="shared" si="8"/>
        <v>0.44700000000000001</v>
      </c>
      <c r="AC63" s="64">
        <f t="shared" si="9"/>
        <v>343.40438946284513</v>
      </c>
      <c r="AD63" s="71"/>
      <c r="AE63" s="45">
        <f t="shared" si="11"/>
        <v>68.680877892569029</v>
      </c>
      <c r="AF63" s="42"/>
      <c r="AG63"/>
      <c r="AH63"/>
      <c r="AI63"/>
      <c r="AJ63"/>
    </row>
    <row r="64" spans="1:36" x14ac:dyDescent="0.25">
      <c r="S64"/>
      <c r="T64"/>
      <c r="U64"/>
      <c r="V64"/>
      <c r="W64" s="57" t="str">
        <f>+W58</f>
        <v>E10</v>
      </c>
      <c r="X64" s="41">
        <v>0.192</v>
      </c>
      <c r="Y64" s="42"/>
      <c r="Z64" s="42"/>
      <c r="AA64" s="72"/>
      <c r="AB64" s="60">
        <f t="shared" si="8"/>
        <v>0.192</v>
      </c>
      <c r="AC64" s="64">
        <f t="shared" si="9"/>
        <v>47.277911231379953</v>
      </c>
      <c r="AD64" s="71"/>
      <c r="AE64" s="45">
        <f t="shared" si="11"/>
        <v>9.4555822462759913</v>
      </c>
      <c r="AF64" s="42"/>
      <c r="AG64"/>
      <c r="AH64"/>
      <c r="AI64"/>
      <c r="AJ64"/>
    </row>
    <row r="65" spans="2:40" x14ac:dyDescent="0.25">
      <c r="S65"/>
      <c r="T65"/>
      <c r="U65"/>
      <c r="V65"/>
      <c r="W65" s="57" t="str">
        <f>+W59</f>
        <v>E11</v>
      </c>
      <c r="X65" s="41">
        <v>0.113</v>
      </c>
      <c r="Y65" s="42"/>
      <c r="Z65" s="42"/>
      <c r="AA65" s="72"/>
      <c r="AB65" s="60">
        <f t="shared" si="8"/>
        <v>0.113</v>
      </c>
      <c r="AC65" s="64">
        <f t="shared" si="9"/>
        <v>-44.463233005034745</v>
      </c>
      <c r="AD65" s="71"/>
      <c r="AE65" s="45">
        <f t="shared" si="11"/>
        <v>-8.89264660100695</v>
      </c>
      <c r="AF65" s="42"/>
      <c r="AG65"/>
      <c r="AH65"/>
      <c r="AI65"/>
      <c r="AJ65"/>
    </row>
    <row r="66" spans="2:40" x14ac:dyDescent="0.25">
      <c r="J66" s="26"/>
    </row>
    <row r="67" spans="2:40" x14ac:dyDescent="0.25">
      <c r="B67" s="13" t="s">
        <v>43</v>
      </c>
    </row>
    <row r="69" spans="2:40" ht="17.25" x14ac:dyDescent="0.25">
      <c r="B69" s="13" t="s">
        <v>19</v>
      </c>
      <c r="C69" s="13" t="s">
        <v>28</v>
      </c>
      <c r="E69" s="13" t="s">
        <v>139</v>
      </c>
      <c r="F69" s="16" t="s">
        <v>135</v>
      </c>
      <c r="G69" s="16" t="s">
        <v>136</v>
      </c>
      <c r="H69" s="16" t="s">
        <v>137</v>
      </c>
      <c r="I69" s="16" t="s">
        <v>138</v>
      </c>
      <c r="J69" s="13" t="s">
        <v>78</v>
      </c>
      <c r="K69" s="27"/>
      <c r="L69" s="49"/>
      <c r="U69"/>
      <c r="V69" s="43"/>
      <c r="W69" s="44"/>
      <c r="X69"/>
      <c r="Y69"/>
      <c r="Z69" s="28"/>
      <c r="AA69" s="50"/>
      <c r="AB69"/>
      <c r="AC69" s="50"/>
      <c r="AD69" s="51"/>
      <c r="AE69"/>
    </row>
    <row r="70" spans="2:40" x14ac:dyDescent="0.25">
      <c r="B70" s="13">
        <v>1</v>
      </c>
      <c r="C70" s="28">
        <v>0.1</v>
      </c>
      <c r="E70" s="10">
        <v>22.68</v>
      </c>
      <c r="F70" s="10">
        <v>113.8</v>
      </c>
      <c r="G70" s="10">
        <v>74.260000000000005</v>
      </c>
      <c r="H70" s="9">
        <v>258.51</v>
      </c>
      <c r="I70" s="10">
        <v>254.71</v>
      </c>
      <c r="J70" s="10">
        <v>307.87</v>
      </c>
      <c r="K70" s="10"/>
      <c r="L70" s="29"/>
      <c r="P70" s="10"/>
      <c r="Q70" s="10"/>
    </row>
    <row r="71" spans="2:40" x14ac:dyDescent="0.25">
      <c r="B71" s="13">
        <v>2</v>
      </c>
      <c r="C71" s="28">
        <f>+C70+0.2</f>
        <v>0.30000000000000004</v>
      </c>
      <c r="E71" s="10">
        <v>9.39</v>
      </c>
      <c r="F71" s="10">
        <v>21.49</v>
      </c>
      <c r="G71" s="10">
        <v>68.33</v>
      </c>
      <c r="H71" s="9">
        <v>196.84</v>
      </c>
      <c r="I71" s="10">
        <v>178.33</v>
      </c>
      <c r="J71" s="10">
        <v>345.49</v>
      </c>
      <c r="K71" s="10"/>
      <c r="L71" s="29"/>
      <c r="O71" s="16"/>
      <c r="P71" s="10"/>
      <c r="Q71" s="10"/>
    </row>
    <row r="72" spans="2:40" x14ac:dyDescent="0.25">
      <c r="B72" s="13">
        <v>3</v>
      </c>
      <c r="C72" s="28">
        <f t="shared" ref="C72:C84" si="22">+C71+0.2</f>
        <v>0.5</v>
      </c>
      <c r="E72" s="10">
        <v>0</v>
      </c>
      <c r="F72" s="10">
        <v>49.86</v>
      </c>
      <c r="G72" s="10">
        <v>53.61</v>
      </c>
      <c r="H72" s="9">
        <v>218.28</v>
      </c>
      <c r="I72" s="10">
        <v>239.38</v>
      </c>
      <c r="J72" s="10">
        <v>358.52</v>
      </c>
      <c r="K72" s="10"/>
      <c r="L72" s="29"/>
      <c r="O72" s="16"/>
      <c r="P72" s="10"/>
      <c r="Q72" s="10"/>
      <c r="T72" s="13" t="s">
        <v>60</v>
      </c>
      <c r="U72" s="18"/>
      <c r="V72" s="18"/>
      <c r="W72" s="18"/>
      <c r="X72" s="18"/>
      <c r="Y72" s="18"/>
      <c r="AA72" s="17" t="s">
        <v>81</v>
      </c>
      <c r="AB72" s="17"/>
      <c r="AC72" s="17"/>
      <c r="AD72" s="17"/>
      <c r="AE72" s="17"/>
      <c r="AF72" s="18"/>
      <c r="AG72" s="18"/>
      <c r="AH72" s="18" t="s">
        <v>82</v>
      </c>
      <c r="AI72" s="18"/>
      <c r="AJ72" s="18"/>
      <c r="AK72" s="18"/>
      <c r="AL72" s="18"/>
      <c r="AM72" s="18"/>
      <c r="AN72" s="17"/>
    </row>
    <row r="73" spans="2:40" x14ac:dyDescent="0.25">
      <c r="B73" s="13">
        <v>4</v>
      </c>
      <c r="C73" s="28">
        <f t="shared" si="22"/>
        <v>0.7</v>
      </c>
      <c r="E73" s="9">
        <v>23.14</v>
      </c>
      <c r="F73" s="9">
        <v>0</v>
      </c>
      <c r="G73" s="10">
        <v>67.2</v>
      </c>
      <c r="H73" s="9">
        <v>140.25</v>
      </c>
      <c r="I73" s="10">
        <v>244.05</v>
      </c>
      <c r="J73" s="10">
        <v>346.58</v>
      </c>
      <c r="K73" s="10"/>
      <c r="L73" s="29"/>
      <c r="O73" s="16"/>
      <c r="P73" s="10"/>
      <c r="Q73" s="10"/>
      <c r="T73" s="18"/>
      <c r="U73" s="18"/>
      <c r="V73" s="18"/>
      <c r="W73" s="18"/>
      <c r="X73" s="18"/>
      <c r="Y73" s="18"/>
      <c r="Z73" s="17"/>
      <c r="AA73" s="17"/>
      <c r="AB73" s="17"/>
      <c r="AC73" s="17"/>
      <c r="AD73" s="17"/>
      <c r="AE73" s="17"/>
      <c r="AF73" s="18"/>
      <c r="AG73" s="18"/>
      <c r="AH73" s="18"/>
      <c r="AI73" s="18"/>
      <c r="AJ73" s="18"/>
      <c r="AK73" s="18"/>
      <c r="AL73" s="18"/>
      <c r="AM73" s="18"/>
      <c r="AN73" s="17"/>
    </row>
    <row r="74" spans="2:40" x14ac:dyDescent="0.25">
      <c r="B74" s="13">
        <v>5</v>
      </c>
      <c r="C74" s="28">
        <f t="shared" si="22"/>
        <v>0.89999999999999991</v>
      </c>
      <c r="E74" s="9">
        <v>14.96</v>
      </c>
      <c r="F74" s="9">
        <v>50.14</v>
      </c>
      <c r="G74" s="10">
        <v>57.2</v>
      </c>
      <c r="H74" s="9">
        <v>220.3</v>
      </c>
      <c r="I74" s="10">
        <v>456.05</v>
      </c>
      <c r="J74" s="10">
        <v>263.62</v>
      </c>
      <c r="K74" s="10"/>
      <c r="L74" s="29"/>
      <c r="S74" s="13" t="s">
        <v>28</v>
      </c>
      <c r="T74" s="13" t="str">
        <f t="shared" ref="T74:Y74" si="23">+E69</f>
        <v>TB (3.1 nM [18F]AG-120)</v>
      </c>
      <c r="U74" s="13" t="str">
        <f t="shared" si="23"/>
        <v>+ 830 nM BAY</v>
      </c>
      <c r="V74" s="13" t="str">
        <f t="shared" si="23"/>
        <v xml:space="preserve">+ 830 nM AG-120 </v>
      </c>
      <c r="W74" s="13" t="str">
        <f t="shared" si="23"/>
        <v>+ 83 nM AG-120</v>
      </c>
      <c r="X74" s="13" t="str">
        <f t="shared" si="23"/>
        <v>+ 8.3 nM AG-120</v>
      </c>
      <c r="Y74" s="13" t="str">
        <f t="shared" si="23"/>
        <v>CPM, AG-4</v>
      </c>
      <c r="Z74" s="39" t="s">
        <v>19</v>
      </c>
      <c r="AA74" s="13" t="str">
        <f>+T74</f>
        <v>TB (3.1 nM [18F]AG-120)</v>
      </c>
      <c r="AB74" s="13" t="str">
        <f t="shared" ref="AB74:AF74" si="24">+U74</f>
        <v>+ 830 nM BAY</v>
      </c>
      <c r="AC74" s="13" t="str">
        <f t="shared" si="24"/>
        <v xml:space="preserve">+ 830 nM AG-120 </v>
      </c>
      <c r="AD74" s="13" t="str">
        <f t="shared" si="24"/>
        <v>+ 83 nM AG-120</v>
      </c>
      <c r="AE74" s="13" t="str">
        <f t="shared" si="24"/>
        <v>+ 8.3 nM AG-120</v>
      </c>
      <c r="AF74" s="13" t="str">
        <f t="shared" si="24"/>
        <v>CPM, AG-4</v>
      </c>
      <c r="AG74" s="74" t="s">
        <v>19</v>
      </c>
      <c r="AH74" s="18" t="str">
        <f>+AA74</f>
        <v>TB (3.1 nM [18F]AG-120)</v>
      </c>
      <c r="AI74" s="18" t="str">
        <f t="shared" ref="AI74:AM74" si="25">+AB74</f>
        <v>+ 830 nM BAY</v>
      </c>
      <c r="AJ74" s="18" t="str">
        <f t="shared" si="25"/>
        <v xml:space="preserve">+ 830 nM AG-120 </v>
      </c>
      <c r="AK74" s="18" t="str">
        <f t="shared" si="25"/>
        <v>+ 83 nM AG-120</v>
      </c>
      <c r="AL74" s="18" t="str">
        <f t="shared" si="25"/>
        <v>+ 8.3 nM AG-120</v>
      </c>
      <c r="AM74" s="18" t="str">
        <f t="shared" si="25"/>
        <v>CPM, AG-4</v>
      </c>
      <c r="AN74" s="17"/>
    </row>
    <row r="75" spans="2:40" x14ac:dyDescent="0.25">
      <c r="B75" s="13">
        <v>6</v>
      </c>
      <c r="C75" s="28">
        <f t="shared" si="22"/>
        <v>1.0999999999999999</v>
      </c>
      <c r="E75" s="9">
        <v>3121.87</v>
      </c>
      <c r="F75" s="9">
        <v>3546.24</v>
      </c>
      <c r="G75" s="10">
        <v>598.36</v>
      </c>
      <c r="H75" s="9">
        <v>2400.4499999999998</v>
      </c>
      <c r="I75" s="10">
        <v>2108.9499999999998</v>
      </c>
      <c r="J75" s="10">
        <v>14397.3</v>
      </c>
      <c r="K75" s="10"/>
      <c r="L75" s="29"/>
      <c r="P75" s="10"/>
      <c r="Q75" s="10"/>
      <c r="S75" s="20">
        <f>+C70</f>
        <v>0.1</v>
      </c>
      <c r="T75" s="22"/>
      <c r="U75" s="17"/>
      <c r="V75" s="17"/>
      <c r="W75" s="17"/>
      <c r="X75" s="17"/>
      <c r="Y75" s="17"/>
      <c r="Z75" s="17">
        <v>1</v>
      </c>
      <c r="AA75" s="36">
        <f>+E70*$N$28</f>
        <v>5.0331798949665386E-18</v>
      </c>
      <c r="AB75" s="36">
        <f t="shared" ref="AB75:AF89" si="26">+F70*$N$28</f>
        <v>2.5254668079682189E-17</v>
      </c>
      <c r="AC75" s="36">
        <f t="shared" si="26"/>
        <v>1.6479891490309311E-17</v>
      </c>
      <c r="AD75" s="36">
        <f t="shared" si="26"/>
        <v>5.7368930099109345E-17</v>
      </c>
      <c r="AE75" s="36">
        <f t="shared" si="26"/>
        <v>5.6525628353039117E-17</v>
      </c>
      <c r="AF75" s="36">
        <f t="shared" si="26"/>
        <v>6.8322975937537397E-17</v>
      </c>
      <c r="AG75" s="18">
        <v>1</v>
      </c>
      <c r="AH75" s="75"/>
      <c r="AI75" s="18"/>
      <c r="AJ75" s="18"/>
      <c r="AK75" s="18"/>
      <c r="AL75" s="18"/>
      <c r="AM75" s="18"/>
      <c r="AN75" s="17"/>
    </row>
    <row r="76" spans="2:40" x14ac:dyDescent="0.25">
      <c r="B76" s="13">
        <v>7</v>
      </c>
      <c r="C76" s="28">
        <f t="shared" si="22"/>
        <v>1.2999999999999998</v>
      </c>
      <c r="E76" s="9">
        <v>214353.92000000001</v>
      </c>
      <c r="F76" s="9">
        <v>169832.32000000001</v>
      </c>
      <c r="G76" s="10">
        <v>61634.36</v>
      </c>
      <c r="H76" s="9">
        <v>173892.05</v>
      </c>
      <c r="I76" s="10">
        <v>165583.49</v>
      </c>
      <c r="J76" s="9">
        <v>284383.94</v>
      </c>
      <c r="K76" s="10"/>
      <c r="L76" s="29"/>
      <c r="P76" s="10"/>
      <c r="Q76" s="10"/>
      <c r="S76" s="20">
        <f>+S75+0.2</f>
        <v>0.30000000000000004</v>
      </c>
      <c r="T76" s="22"/>
      <c r="U76" s="17"/>
      <c r="V76" s="17"/>
      <c r="W76" s="17"/>
      <c r="X76" s="17"/>
      <c r="Y76" s="17"/>
      <c r="Z76" s="17">
        <v>2</v>
      </c>
      <c r="AA76" s="36">
        <f t="shared" ref="AA76:AA89" si="27">+E71*$N$28</f>
        <v>2.0838429988419663E-18</v>
      </c>
      <c r="AB76" s="36">
        <f t="shared" si="26"/>
        <v>4.7690932955392816E-18</v>
      </c>
      <c r="AC76" s="36">
        <f t="shared" si="26"/>
        <v>1.51638969234155E-17</v>
      </c>
      <c r="AD76" s="36">
        <f t="shared" si="26"/>
        <v>4.368303044643798E-17</v>
      </c>
      <c r="AE76" s="36">
        <f t="shared" si="26"/>
        <v>3.9575263257027462E-17</v>
      </c>
      <c r="AF76" s="36">
        <f t="shared" si="26"/>
        <v>7.6671663223632689E-17</v>
      </c>
      <c r="AG76" s="18">
        <v>2</v>
      </c>
      <c r="AH76" s="75"/>
      <c r="AI76" s="18"/>
      <c r="AJ76" s="18"/>
      <c r="AK76" s="18"/>
      <c r="AL76" s="18"/>
      <c r="AM76" s="18"/>
      <c r="AN76" s="17"/>
    </row>
    <row r="77" spans="2:40" x14ac:dyDescent="0.25">
      <c r="B77" s="13">
        <v>8</v>
      </c>
      <c r="C77" s="28">
        <f t="shared" si="22"/>
        <v>1.4999999999999998</v>
      </c>
      <c r="E77" s="9">
        <v>556936.48</v>
      </c>
      <c r="F77" s="9">
        <v>355554.27</v>
      </c>
      <c r="G77" s="10">
        <v>197510.85</v>
      </c>
      <c r="H77" s="9">
        <v>532126.54</v>
      </c>
      <c r="I77" s="10">
        <v>577361.31000000006</v>
      </c>
      <c r="J77" s="9">
        <v>504596.29</v>
      </c>
      <c r="K77" s="10"/>
      <c r="L77" s="29"/>
      <c r="P77" s="10"/>
      <c r="Q77" s="10"/>
      <c r="S77" s="20">
        <f t="shared" ref="S77:S89" si="28">+S76+0.2</f>
        <v>0.5</v>
      </c>
      <c r="T77" s="22"/>
      <c r="U77" s="17"/>
      <c r="V77" s="17"/>
      <c r="W77" s="17"/>
      <c r="X77" s="17"/>
      <c r="Y77" s="17"/>
      <c r="Z77" s="17">
        <v>3</v>
      </c>
      <c r="AA77" s="36"/>
      <c r="AB77" s="36">
        <f t="shared" si="26"/>
        <v>1.106500659448993E-17</v>
      </c>
      <c r="AC77" s="36">
        <f t="shared" si="26"/>
        <v>1.1897212264953973E-17</v>
      </c>
      <c r="AD77" s="36">
        <f t="shared" si="26"/>
        <v>4.8441027666371077E-17</v>
      </c>
      <c r="AE77" s="36">
        <f t="shared" si="26"/>
        <v>5.3123571572182095E-17</v>
      </c>
      <c r="AF77" s="36">
        <f t="shared" si="26"/>
        <v>7.9563300526605086E-17</v>
      </c>
      <c r="AG77" s="18">
        <v>3</v>
      </c>
      <c r="AH77" s="75"/>
      <c r="AI77" s="18"/>
      <c r="AJ77" s="18"/>
      <c r="AK77" s="18"/>
      <c r="AL77" s="18"/>
      <c r="AM77" s="18"/>
      <c r="AN77" s="17"/>
    </row>
    <row r="78" spans="2:40" x14ac:dyDescent="0.25">
      <c r="B78" s="13">
        <v>9</v>
      </c>
      <c r="C78" s="28">
        <f t="shared" si="22"/>
        <v>1.6999999999999997</v>
      </c>
      <c r="E78" s="9">
        <v>351826.13</v>
      </c>
      <c r="F78" s="9">
        <v>190051.61</v>
      </c>
      <c r="G78" s="10">
        <v>164619.92000000001</v>
      </c>
      <c r="H78" s="9">
        <v>397298.43</v>
      </c>
      <c r="I78" s="10">
        <v>351001.25</v>
      </c>
      <c r="J78" s="9">
        <v>294405.03999999998</v>
      </c>
      <c r="K78" s="10"/>
      <c r="L78" s="29"/>
      <c r="P78" s="10"/>
      <c r="Q78" s="10"/>
      <c r="S78" s="20">
        <f t="shared" si="28"/>
        <v>0.7</v>
      </c>
      <c r="T78" s="22"/>
      <c r="U78" s="17"/>
      <c r="V78" s="17"/>
      <c r="W78" s="17"/>
      <c r="X78" s="17"/>
      <c r="Y78" s="17"/>
      <c r="Z78" s="17">
        <v>4</v>
      </c>
      <c r="AA78" s="36">
        <f t="shared" si="27"/>
        <v>5.1352637905434611E-18</v>
      </c>
      <c r="AB78" s="36"/>
      <c r="AC78" s="36">
        <f t="shared" si="26"/>
        <v>1.4913125614715669E-17</v>
      </c>
      <c r="AD78" s="36">
        <f t="shared" si="26"/>
        <v>3.112449207535525E-17</v>
      </c>
      <c r="AE78" s="36">
        <f t="shared" si="26"/>
        <v>5.4159945033799989E-17</v>
      </c>
      <c r="AF78" s="36">
        <f t="shared" si="26"/>
        <v>7.6913557671847569E-17</v>
      </c>
      <c r="AG78" s="18">
        <v>4</v>
      </c>
      <c r="AH78" s="75"/>
      <c r="AI78" s="18"/>
      <c r="AJ78" s="18"/>
      <c r="AK78" s="18"/>
      <c r="AL78" s="18"/>
      <c r="AM78" s="18"/>
      <c r="AN78" s="17"/>
    </row>
    <row r="79" spans="2:40" x14ac:dyDescent="0.25">
      <c r="B79" s="13">
        <v>10</v>
      </c>
      <c r="C79" s="28">
        <f t="shared" si="22"/>
        <v>1.8999999999999997</v>
      </c>
      <c r="E79" s="9">
        <v>118381.54</v>
      </c>
      <c r="F79" s="9">
        <v>38933.79</v>
      </c>
      <c r="G79" s="10">
        <v>64413.72</v>
      </c>
      <c r="H79" s="9">
        <v>142755.21</v>
      </c>
      <c r="I79" s="10">
        <v>80531.960000000006</v>
      </c>
      <c r="J79" s="10">
        <v>83595.38</v>
      </c>
      <c r="K79" s="10"/>
      <c r="L79" s="29"/>
      <c r="P79" s="10"/>
      <c r="Q79" s="10"/>
      <c r="S79" s="20">
        <f t="shared" si="28"/>
        <v>0.89999999999999991</v>
      </c>
      <c r="T79" s="22"/>
      <c r="U79" s="17"/>
      <c r="V79" s="17"/>
      <c r="W79" s="50"/>
      <c r="X79" s="50"/>
      <c r="Y79" s="50"/>
      <c r="Z79" s="17">
        <v>5</v>
      </c>
      <c r="AA79" s="36">
        <f t="shared" si="27"/>
        <v>3.3199458213712266E-18</v>
      </c>
      <c r="AB79" s="36">
        <f t="shared" si="26"/>
        <v>1.1127144617884578E-17</v>
      </c>
      <c r="AC79" s="36">
        <f t="shared" si="26"/>
        <v>1.2693910493478219E-17</v>
      </c>
      <c r="AD79" s="36">
        <f t="shared" si="26"/>
        <v>4.8889309120861044E-17</v>
      </c>
      <c r="AE79" s="36">
        <f t="shared" si="26"/>
        <v>1.0120730560403395E-16</v>
      </c>
      <c r="AF79" s="36">
        <f t="shared" si="26"/>
        <v>5.8502949026061677E-17</v>
      </c>
      <c r="AG79" s="18">
        <v>5</v>
      </c>
      <c r="AH79" s="75"/>
      <c r="AI79" s="18"/>
      <c r="AJ79" s="18"/>
      <c r="AK79" s="18"/>
      <c r="AL79" s="18"/>
      <c r="AM79" s="18"/>
      <c r="AN79" s="17"/>
    </row>
    <row r="80" spans="2:40" x14ac:dyDescent="0.25">
      <c r="B80" s="13">
        <v>11</v>
      </c>
      <c r="C80" s="28">
        <f t="shared" si="22"/>
        <v>2.0999999999999996</v>
      </c>
      <c r="E80" s="9">
        <v>39159.14</v>
      </c>
      <c r="F80" s="9">
        <v>15086.19</v>
      </c>
      <c r="G80" s="10">
        <v>23865.65</v>
      </c>
      <c r="H80" s="9">
        <v>49689.71</v>
      </c>
      <c r="I80" s="10">
        <v>22256.37</v>
      </c>
      <c r="J80" s="10">
        <v>24403.41</v>
      </c>
      <c r="P80" s="49"/>
      <c r="Q80" s="30"/>
      <c r="S80" s="20">
        <f t="shared" si="28"/>
        <v>1.0999999999999999</v>
      </c>
      <c r="T80" s="50"/>
      <c r="U80" s="9"/>
      <c r="V80" s="17"/>
      <c r="W80" s="50"/>
      <c r="X80" s="50"/>
      <c r="Y80" s="50"/>
      <c r="Z80" s="17">
        <v>6</v>
      </c>
      <c r="AA80" s="36">
        <f t="shared" si="27"/>
        <v>6.9281011105375605E-16</v>
      </c>
      <c r="AB80" s="36">
        <f t="shared" si="26"/>
        <v>7.8698694315370976E-16</v>
      </c>
      <c r="AC80" s="36">
        <f t="shared" si="26"/>
        <v>1.327889559943641E-16</v>
      </c>
      <c r="AD80" s="36">
        <f t="shared" si="26"/>
        <v>5.3271149377744384E-16</v>
      </c>
      <c r="AE80" s="36">
        <f t="shared" si="26"/>
        <v>4.6802137299337216E-16</v>
      </c>
      <c r="AF80" s="36">
        <f t="shared" si="26"/>
        <v>3.195070586499195E-15</v>
      </c>
      <c r="AG80" s="18">
        <v>6</v>
      </c>
      <c r="AH80" s="75"/>
      <c r="AI80" s="75"/>
      <c r="AJ80" s="75"/>
      <c r="AK80" s="75"/>
      <c r="AL80" s="75"/>
      <c r="AM80" s="75"/>
      <c r="AN80" s="17"/>
    </row>
    <row r="81" spans="1:40" x14ac:dyDescent="0.25">
      <c r="B81" s="13">
        <v>12</v>
      </c>
      <c r="C81" s="28">
        <f t="shared" si="22"/>
        <v>2.2999999999999998</v>
      </c>
      <c r="E81" s="9">
        <v>16728</v>
      </c>
      <c r="F81" s="9">
        <v>9825.4</v>
      </c>
      <c r="G81" s="10">
        <v>13177.45</v>
      </c>
      <c r="H81" s="9">
        <v>21022.02</v>
      </c>
      <c r="I81" s="10">
        <v>9235.85</v>
      </c>
      <c r="J81" s="10">
        <v>9737.7999999999993</v>
      </c>
      <c r="S81" s="20">
        <f t="shared" si="28"/>
        <v>1.2999999999999998</v>
      </c>
      <c r="T81" s="50">
        <v>48.939112677138013</v>
      </c>
      <c r="U81" s="9">
        <v>61.713196051828668</v>
      </c>
      <c r="V81" s="50">
        <v>30.358627768497055</v>
      </c>
      <c r="W81" s="50">
        <v>36.86179748652139</v>
      </c>
      <c r="X81" s="50">
        <v>40.345638406891574</v>
      </c>
      <c r="Y81" s="50">
        <v>66.822829401704936</v>
      </c>
      <c r="Z81" s="17">
        <v>7</v>
      </c>
      <c r="AA81" s="36">
        <f t="shared" si="27"/>
        <v>4.7569746056052285E-14</v>
      </c>
      <c r="AB81" s="36">
        <f t="shared" si="26"/>
        <v>3.7689445261883753E-14</v>
      </c>
      <c r="AC81" s="36">
        <f t="shared" si="26"/>
        <v>1.3677990369979269E-14</v>
      </c>
      <c r="AD81" s="36">
        <f t="shared" si="26"/>
        <v>3.8590386682297885E-14</v>
      </c>
      <c r="AE81" s="36">
        <f t="shared" si="26"/>
        <v>3.6746538483527022E-14</v>
      </c>
      <c r="AF81" s="36">
        <f t="shared" si="26"/>
        <v>6.31109139885084E-14</v>
      </c>
      <c r="AG81" s="18">
        <v>7</v>
      </c>
      <c r="AH81" s="75"/>
      <c r="AI81" s="75"/>
      <c r="AJ81" s="75"/>
      <c r="AK81" s="75"/>
      <c r="AL81" s="75"/>
      <c r="AM81" s="75"/>
      <c r="AN81" s="17"/>
    </row>
    <row r="82" spans="1:40" x14ac:dyDescent="0.25">
      <c r="B82" s="13">
        <v>13</v>
      </c>
      <c r="C82" s="28">
        <f t="shared" si="22"/>
        <v>2.5</v>
      </c>
      <c r="E82" s="9">
        <v>8193.07</v>
      </c>
      <c r="F82" s="9">
        <v>12407.8</v>
      </c>
      <c r="G82" s="10">
        <v>12961.23</v>
      </c>
      <c r="H82" s="9">
        <v>9419.08</v>
      </c>
      <c r="I82" s="10">
        <v>5438.47</v>
      </c>
      <c r="J82" s="10">
        <v>6206.27</v>
      </c>
      <c r="P82" s="9"/>
      <c r="Q82" s="9"/>
      <c r="S82" s="20">
        <f t="shared" si="28"/>
        <v>1.4999999999999998</v>
      </c>
      <c r="T82" s="50">
        <v>130.22873415244217</v>
      </c>
      <c r="U82" s="9">
        <v>132.55129476602229</v>
      </c>
      <c r="V82" s="50">
        <v>117.68690683910953</v>
      </c>
      <c r="W82" s="50">
        <v>114.66757804145537</v>
      </c>
      <c r="X82" s="50">
        <v>125.35135686392391</v>
      </c>
      <c r="Y82" s="50">
        <v>123.02879625034382</v>
      </c>
      <c r="Z82" s="17">
        <v>8</v>
      </c>
      <c r="AA82" s="36">
        <f t="shared" si="27"/>
        <v>1.2359618579847592E-13</v>
      </c>
      <c r="AB82" s="36">
        <f t="shared" si="26"/>
        <v>7.8905141240454332E-14</v>
      </c>
      <c r="AC82" s="36">
        <f t="shared" si="26"/>
        <v>4.3831906492846195E-14</v>
      </c>
      <c r="AD82" s="36">
        <f t="shared" si="26"/>
        <v>1.1809032639797652E-13</v>
      </c>
      <c r="AE82" s="36">
        <f t="shared" si="26"/>
        <v>1.2812889495694635E-13</v>
      </c>
      <c r="AF82" s="36">
        <f t="shared" si="26"/>
        <v>1.1198077168883179E-13</v>
      </c>
      <c r="AG82" s="18">
        <v>8</v>
      </c>
      <c r="AH82" s="75">
        <f t="shared" ref="AH82:AH88" si="29">+AA82/(T82/1000)</f>
        <v>9.4907000826559229E-13</v>
      </c>
      <c r="AI82" s="75">
        <f t="shared" ref="AI82:AI88" si="30">+AB82/(U82/1000)</f>
        <v>5.9528004897829623E-13</v>
      </c>
      <c r="AJ82" s="75">
        <f t="shared" ref="AJ82:AJ88" si="31">+AC82/(V82/1000)</f>
        <v>3.7244505502017364E-13</v>
      </c>
      <c r="AK82" s="75">
        <f t="shared" ref="AK82:AK87" si="32">+AD82/(W82/1000)</f>
        <v>1.0298493123774162E-12</v>
      </c>
      <c r="AL82" s="75">
        <f t="shared" ref="AL82:AL88" si="33">+AE82/(X82/1000)</f>
        <v>1.0221580217598891E-12</v>
      </c>
      <c r="AM82" s="75">
        <f t="shared" ref="AM82:AM88" si="34">+AF82/(Y82/1000)</f>
        <v>9.1019968577900199E-13</v>
      </c>
      <c r="AN82" s="17"/>
    </row>
    <row r="83" spans="1:40" x14ac:dyDescent="0.25">
      <c r="B83" s="13">
        <v>14</v>
      </c>
      <c r="C83" s="28">
        <f t="shared" si="22"/>
        <v>2.7</v>
      </c>
      <c r="E83" s="9">
        <v>5643.68</v>
      </c>
      <c r="F83" s="9">
        <v>19585.189999999999</v>
      </c>
      <c r="G83" s="10">
        <v>19860.490000000002</v>
      </c>
      <c r="H83" s="9">
        <v>7119.8</v>
      </c>
      <c r="I83" s="10">
        <v>4930.1499999999996</v>
      </c>
      <c r="J83" s="10">
        <v>5470.91</v>
      </c>
      <c r="O83" s="16"/>
      <c r="P83" s="9"/>
      <c r="Q83" s="9"/>
      <c r="S83" s="20">
        <f t="shared" si="28"/>
        <v>1.6999999999999997</v>
      </c>
      <c r="T83" s="50">
        <v>77.971120346889492</v>
      </c>
      <c r="U83" s="9">
        <v>71.932462751581213</v>
      </c>
      <c r="V83" s="50">
        <v>90.977459782938169</v>
      </c>
      <c r="W83" s="50">
        <v>91.6742279670122</v>
      </c>
      <c r="X83" s="50">
        <v>81.454961267259677</v>
      </c>
      <c r="Y83" s="50">
        <v>68.680877892569029</v>
      </c>
      <c r="Z83" s="17">
        <v>9</v>
      </c>
      <c r="AA83" s="36">
        <f t="shared" si="27"/>
        <v>7.8077786774245308E-14</v>
      </c>
      <c r="AB83" s="36">
        <f t="shared" si="26"/>
        <v>4.2176540672752269E-14</v>
      </c>
      <c r="AC83" s="36">
        <f t="shared" si="26"/>
        <v>3.6532701572089946E-14</v>
      </c>
      <c r="AD83" s="36">
        <f t="shared" si="26"/>
        <v>8.8169068349989887E-14</v>
      </c>
      <c r="AE83" s="36">
        <f t="shared" si="26"/>
        <v>7.789472815732468E-14</v>
      </c>
      <c r="AF83" s="36">
        <f t="shared" si="26"/>
        <v>6.5334811653651657E-14</v>
      </c>
      <c r="AG83" s="18">
        <v>9</v>
      </c>
      <c r="AH83" s="75">
        <f t="shared" si="29"/>
        <v>1.0013680248133061E-12</v>
      </c>
      <c r="AI83" s="75">
        <f t="shared" si="30"/>
        <v>5.8633527978054869E-13</v>
      </c>
      <c r="AJ83" s="75">
        <f t="shared" si="31"/>
        <v>4.0155772275080883E-13</v>
      </c>
      <c r="AK83" s="75">
        <f t="shared" si="32"/>
        <v>9.6176504897010301E-13</v>
      </c>
      <c r="AL83" s="75">
        <f t="shared" si="33"/>
        <v>9.5629200413890553E-13</v>
      </c>
      <c r="AM83" s="75"/>
      <c r="AN83" s="17"/>
    </row>
    <row r="84" spans="1:40" x14ac:dyDescent="0.25">
      <c r="B84" s="13">
        <v>15</v>
      </c>
      <c r="C84" s="28">
        <f t="shared" si="22"/>
        <v>2.9000000000000004</v>
      </c>
      <c r="E84" s="9">
        <v>4602.3500000000004</v>
      </c>
      <c r="F84" s="9">
        <v>26913.64</v>
      </c>
      <c r="G84" s="10">
        <v>30412.59</v>
      </c>
      <c r="H84" s="9">
        <v>5001.41</v>
      </c>
      <c r="I84" s="10">
        <v>5129.72</v>
      </c>
      <c r="J84" s="10">
        <v>5462.94</v>
      </c>
      <c r="O84" s="16"/>
      <c r="P84" s="9"/>
      <c r="Q84" s="9"/>
      <c r="S84" s="20">
        <f t="shared" si="28"/>
        <v>1.8999999999999997</v>
      </c>
      <c r="T84" s="50">
        <v>26.17801866405285</v>
      </c>
      <c r="U84" s="9">
        <v>9.4555822462759913</v>
      </c>
      <c r="V84" s="50">
        <v>28.500579277632973</v>
      </c>
      <c r="W84" s="50">
        <v>28.732835338990981</v>
      </c>
      <c r="X84" s="50">
        <v>11.313630737140087</v>
      </c>
      <c r="Y84" s="50">
        <v>9.4555822462759913</v>
      </c>
      <c r="Z84" s="17">
        <v>10</v>
      </c>
      <c r="AA84" s="36">
        <f t="shared" si="27"/>
        <v>2.6271410364337611E-14</v>
      </c>
      <c r="AB84" s="36">
        <f t="shared" si="26"/>
        <v>8.6402455495083455E-15</v>
      </c>
      <c r="AC84" s="36">
        <f t="shared" si="26"/>
        <v>1.4294790143915521E-14</v>
      </c>
      <c r="AD84" s="36">
        <f t="shared" si="26"/>
        <v>3.1680452066742774E-14</v>
      </c>
      <c r="AE84" s="36">
        <f t="shared" si="26"/>
        <v>1.7871774337488954E-14</v>
      </c>
      <c r="AF84" s="36">
        <f t="shared" si="26"/>
        <v>1.8551613136159078E-14</v>
      </c>
      <c r="AG84" s="18">
        <v>10</v>
      </c>
      <c r="AH84" s="75">
        <f t="shared" si="29"/>
        <v>1.0035675618343496E-12</v>
      </c>
      <c r="AI84" s="75">
        <f t="shared" si="30"/>
        <v>9.1377192059338709E-13</v>
      </c>
      <c r="AJ84" s="75">
        <f t="shared" si="31"/>
        <v>5.015613894954745E-13</v>
      </c>
      <c r="AK84" s="75">
        <f t="shared" si="32"/>
        <v>1.1025870469438784E-12</v>
      </c>
      <c r="AL84" s="75">
        <f t="shared" si="33"/>
        <v>1.5796674606693647E-12</v>
      </c>
      <c r="AM84" s="75">
        <f t="shared" si="34"/>
        <v>1.9619746994919841E-12</v>
      </c>
      <c r="AN84" s="17"/>
    </row>
    <row r="85" spans="1:40" x14ac:dyDescent="0.25">
      <c r="C85" s="28"/>
      <c r="E85" s="9"/>
      <c r="F85" s="9"/>
      <c r="G85" s="10"/>
      <c r="H85" s="9"/>
      <c r="I85" s="10"/>
      <c r="J85" s="10"/>
      <c r="O85" s="16"/>
      <c r="P85" s="9"/>
      <c r="Q85" s="9"/>
      <c r="S85" s="20">
        <f t="shared" si="28"/>
        <v>2.0999999999999996</v>
      </c>
      <c r="T85" s="22"/>
      <c r="U85" s="9"/>
      <c r="V85" s="50">
        <v>0.62985191467153712</v>
      </c>
      <c r="W85" s="50"/>
      <c r="X85" s="50"/>
      <c r="Y85" s="50"/>
      <c r="Z85" s="17">
        <v>11</v>
      </c>
      <c r="AA85" s="36">
        <f t="shared" si="27"/>
        <v>8.6902555622654304E-15</v>
      </c>
      <c r="AB85" s="36">
        <f t="shared" si="26"/>
        <v>3.3479500969861221E-15</v>
      </c>
      <c r="AC85" s="36">
        <f t="shared" si="26"/>
        <v>5.2963011358160572E-15</v>
      </c>
      <c r="AD85" s="36">
        <f t="shared" si="26"/>
        <v>1.1027215580190377E-14</v>
      </c>
      <c r="AE85" s="36">
        <f t="shared" si="26"/>
        <v>4.9391672847855559E-15</v>
      </c>
      <c r="AF85" s="36">
        <f t="shared" si="26"/>
        <v>5.4156416481757216E-15</v>
      </c>
      <c r="AG85" s="18">
        <v>11</v>
      </c>
      <c r="AH85" s="75" t="e">
        <f t="shared" si="29"/>
        <v>#DIV/0!</v>
      </c>
      <c r="AI85" s="75" t="e">
        <f t="shared" si="30"/>
        <v>#DIV/0!</v>
      </c>
      <c r="AJ85" s="75">
        <f t="shared" si="31"/>
        <v>8.408803740126815E-12</v>
      </c>
      <c r="AK85" s="75" t="e">
        <f t="shared" si="32"/>
        <v>#DIV/0!</v>
      </c>
      <c r="AL85" s="75" t="e">
        <f t="shared" si="33"/>
        <v>#DIV/0!</v>
      </c>
      <c r="AM85" s="75" t="e">
        <f t="shared" si="34"/>
        <v>#DIV/0!</v>
      </c>
      <c r="AN85" s="17"/>
    </row>
    <row r="86" spans="1:40" x14ac:dyDescent="0.25">
      <c r="C86" s="28"/>
      <c r="E86" s="9"/>
      <c r="F86" s="9"/>
      <c r="G86" s="10"/>
      <c r="H86" s="9"/>
      <c r="I86" s="10"/>
      <c r="J86" s="31"/>
      <c r="S86" s="20">
        <f t="shared" si="28"/>
        <v>2.2999999999999998</v>
      </c>
      <c r="T86" s="22"/>
      <c r="U86" s="9"/>
      <c r="V86" s="9"/>
      <c r="W86" s="9"/>
      <c r="X86" s="9"/>
      <c r="Y86" s="50"/>
      <c r="Z86" s="17">
        <v>12</v>
      </c>
      <c r="AA86" s="36">
        <f t="shared" si="27"/>
        <v>3.7123030548060075E-15</v>
      </c>
      <c r="AB86" s="36">
        <f t="shared" si="26"/>
        <v>2.1804676252206449E-15</v>
      </c>
      <c r="AC86" s="36">
        <f t="shared" si="26"/>
        <v>2.9243596299350449E-15</v>
      </c>
      <c r="AD86" s="36">
        <f t="shared" si="26"/>
        <v>4.6652384662956121E-15</v>
      </c>
      <c r="AE86" s="36">
        <f t="shared" si="26"/>
        <v>2.0496337977480911E-15</v>
      </c>
      <c r="AF86" s="36">
        <f t="shared" si="26"/>
        <v>2.1610273007586046E-15</v>
      </c>
      <c r="AG86" s="18">
        <v>12</v>
      </c>
      <c r="AH86" s="75" t="e">
        <f t="shared" si="29"/>
        <v>#DIV/0!</v>
      </c>
      <c r="AI86" s="75" t="e">
        <f t="shared" si="30"/>
        <v>#DIV/0!</v>
      </c>
      <c r="AJ86" s="75" t="e">
        <f t="shared" si="31"/>
        <v>#DIV/0!</v>
      </c>
      <c r="AK86" s="75" t="e">
        <f t="shared" si="32"/>
        <v>#DIV/0!</v>
      </c>
      <c r="AL86" s="75" t="e">
        <f t="shared" si="33"/>
        <v>#DIV/0!</v>
      </c>
      <c r="AM86" s="75" t="e">
        <f t="shared" si="34"/>
        <v>#DIV/0!</v>
      </c>
      <c r="AN86" s="17"/>
    </row>
    <row r="87" spans="1:40" x14ac:dyDescent="0.25">
      <c r="C87" s="28"/>
      <c r="E87" s="9"/>
      <c r="F87" s="9"/>
      <c r="G87" s="10"/>
      <c r="H87" s="9"/>
      <c r="I87" s="10"/>
      <c r="J87" s="31"/>
      <c r="O87" s="49"/>
      <c r="P87" s="49"/>
      <c r="Q87" s="49"/>
      <c r="S87" s="20">
        <f t="shared" si="28"/>
        <v>2.5</v>
      </c>
      <c r="T87" s="22"/>
      <c r="U87" s="9"/>
      <c r="V87" s="9"/>
      <c r="W87" s="9"/>
      <c r="X87" s="9"/>
      <c r="Y87" s="50"/>
      <c r="Z87" s="17">
        <v>13</v>
      </c>
      <c r="AA87" s="36">
        <f t="shared" si="27"/>
        <v>1.8182184833356921E-15</v>
      </c>
      <c r="AB87" s="36">
        <f t="shared" si="26"/>
        <v>2.7535577381290039E-15</v>
      </c>
      <c r="AC87" s="36">
        <f t="shared" si="26"/>
        <v>2.8763757605836482E-15</v>
      </c>
      <c r="AD87" s="36">
        <f t="shared" si="26"/>
        <v>2.0902964764145249E-15</v>
      </c>
      <c r="AE87" s="36">
        <f t="shared" si="26"/>
        <v>1.2069134860396239E-15</v>
      </c>
      <c r="AF87" s="36">
        <f t="shared" si="26"/>
        <v>1.3773048230482355E-15</v>
      </c>
      <c r="AG87" s="18">
        <v>13</v>
      </c>
      <c r="AH87" s="75" t="e">
        <f t="shared" si="29"/>
        <v>#DIV/0!</v>
      </c>
      <c r="AI87" s="75" t="e">
        <f t="shared" si="30"/>
        <v>#DIV/0!</v>
      </c>
      <c r="AJ87" s="75" t="e">
        <f t="shared" si="31"/>
        <v>#DIV/0!</v>
      </c>
      <c r="AK87" s="75" t="e">
        <f t="shared" si="32"/>
        <v>#DIV/0!</v>
      </c>
      <c r="AL87" s="75" t="e">
        <f t="shared" si="33"/>
        <v>#DIV/0!</v>
      </c>
      <c r="AM87" s="75" t="e">
        <f t="shared" si="34"/>
        <v>#DIV/0!</v>
      </c>
      <c r="AN87" s="17"/>
    </row>
    <row r="88" spans="1:40" x14ac:dyDescent="0.25">
      <c r="C88" s="28"/>
      <c r="E88" s="9"/>
      <c r="F88" s="9"/>
      <c r="G88" s="10"/>
      <c r="H88" s="9"/>
      <c r="I88" s="10"/>
      <c r="J88" s="10"/>
      <c r="S88" s="20">
        <f t="shared" si="28"/>
        <v>2.7</v>
      </c>
      <c r="T88" s="22"/>
      <c r="U88" s="9"/>
      <c r="V88" s="50"/>
      <c r="W88" s="17"/>
      <c r="X88" s="50"/>
      <c r="Y88" s="50"/>
      <c r="Z88" s="17">
        <v>14</v>
      </c>
      <c r="AA88" s="36">
        <f t="shared" si="27"/>
        <v>1.2524539995425377E-15</v>
      </c>
      <c r="AB88" s="36">
        <f t="shared" si="26"/>
        <v>4.3463749800308503E-15</v>
      </c>
      <c r="AC88" s="36">
        <f t="shared" si="26"/>
        <v>4.407469972318518E-15</v>
      </c>
      <c r="AD88" s="36">
        <f t="shared" si="26"/>
        <v>1.5800367820186404E-15</v>
      </c>
      <c r="AE88" s="36">
        <f t="shared" si="26"/>
        <v>1.0941063429968818E-15</v>
      </c>
      <c r="AF88" s="36">
        <f t="shared" si="26"/>
        <v>1.2141126198929181E-15</v>
      </c>
      <c r="AG88" s="18">
        <v>14</v>
      </c>
      <c r="AH88" s="75" t="e">
        <f t="shared" si="29"/>
        <v>#DIV/0!</v>
      </c>
      <c r="AI88" s="75" t="e">
        <f t="shared" si="30"/>
        <v>#DIV/0!</v>
      </c>
      <c r="AJ88" s="75" t="e">
        <f t="shared" si="31"/>
        <v>#DIV/0!</v>
      </c>
      <c r="AK88" s="75"/>
      <c r="AL88" s="75" t="e">
        <f t="shared" si="33"/>
        <v>#DIV/0!</v>
      </c>
      <c r="AM88" s="75" t="e">
        <f t="shared" si="34"/>
        <v>#DIV/0!</v>
      </c>
      <c r="AN88" s="17"/>
    </row>
    <row r="89" spans="1:40" x14ac:dyDescent="0.25">
      <c r="C89" s="28"/>
      <c r="E89" s="9"/>
      <c r="F89" s="9"/>
      <c r="G89" s="10"/>
      <c r="H89" s="9"/>
      <c r="I89" s="10"/>
      <c r="J89" s="10"/>
      <c r="P89" s="11"/>
      <c r="Q89" s="11"/>
      <c r="S89" s="20">
        <f t="shared" si="28"/>
        <v>2.9000000000000004</v>
      </c>
      <c r="T89" s="22"/>
      <c r="U89" s="18"/>
      <c r="V89" s="18"/>
      <c r="W89" s="18"/>
      <c r="X89" s="18"/>
      <c r="Y89" s="18"/>
      <c r="Z89" s="17">
        <v>15</v>
      </c>
      <c r="AA89" s="36">
        <f t="shared" si="27"/>
        <v>1.0213604713227182E-15</v>
      </c>
      <c r="AB89" s="36">
        <f t="shared" si="26"/>
        <v>5.9727156855541106E-15</v>
      </c>
      <c r="AC89" s="36">
        <f t="shared" si="26"/>
        <v>6.7492079603994881E-15</v>
      </c>
      <c r="AD89" s="36">
        <f t="shared" si="26"/>
        <v>1.1099204699508199E-15</v>
      </c>
      <c r="AE89" s="36">
        <f t="shared" si="26"/>
        <v>1.1383952191714178E-15</v>
      </c>
      <c r="AF89" s="36">
        <f t="shared" si="26"/>
        <v>1.2123439054412919E-15</v>
      </c>
      <c r="AG89" s="18">
        <v>15</v>
      </c>
      <c r="AH89" s="75"/>
      <c r="AI89" s="18"/>
      <c r="AJ89" s="18"/>
      <c r="AK89" s="18"/>
      <c r="AL89" s="18"/>
      <c r="AM89" s="18"/>
      <c r="AN89" s="18"/>
    </row>
    <row r="90" spans="1:40" x14ac:dyDescent="0.25">
      <c r="C90" s="28"/>
      <c r="E90" s="9"/>
      <c r="F90" s="9"/>
      <c r="G90" s="10"/>
      <c r="H90" s="9"/>
      <c r="I90" s="10"/>
      <c r="J90" s="10"/>
      <c r="O90" s="16"/>
      <c r="P90" s="11"/>
      <c r="Q90" s="11"/>
      <c r="S90" s="20"/>
      <c r="T90" s="22"/>
      <c r="U90" s="18"/>
      <c r="V90" s="18"/>
      <c r="W90" s="18"/>
      <c r="X90" s="18"/>
      <c r="Y90" s="18"/>
      <c r="Z90" s="17"/>
      <c r="AA90" s="36"/>
      <c r="AB90" s="36"/>
      <c r="AC90" s="36"/>
      <c r="AD90" s="36"/>
      <c r="AE90" s="36"/>
      <c r="AF90" s="18"/>
      <c r="AG90" s="17"/>
      <c r="AH90" s="47"/>
      <c r="AI90" s="18"/>
      <c r="AJ90" s="18"/>
      <c r="AK90" s="18"/>
      <c r="AL90" s="18"/>
      <c r="AM90" s="18"/>
      <c r="AN90" s="18"/>
    </row>
    <row r="91" spans="1:40" x14ac:dyDescent="0.25">
      <c r="C91" s="28"/>
      <c r="E91" s="9"/>
      <c r="F91" s="10"/>
      <c r="G91" s="10"/>
      <c r="H91" s="9"/>
      <c r="I91" s="10"/>
      <c r="J91" s="10"/>
      <c r="O91" s="16"/>
      <c r="P91" s="11"/>
      <c r="Q91" s="11"/>
      <c r="S91" s="20"/>
      <c r="T91" s="22"/>
      <c r="U91" s="18"/>
      <c r="V91" s="18"/>
      <c r="W91" s="18"/>
      <c r="X91" s="18"/>
      <c r="Y91" s="18"/>
      <c r="Z91" s="17"/>
      <c r="AA91" s="36"/>
      <c r="AB91" s="36"/>
      <c r="AC91" s="36"/>
      <c r="AD91" s="36"/>
      <c r="AE91" s="36"/>
      <c r="AF91" s="18"/>
      <c r="AG91" s="17"/>
      <c r="AH91" s="47"/>
      <c r="AI91" s="18"/>
      <c r="AJ91" s="18"/>
      <c r="AK91" s="18"/>
      <c r="AL91" s="18"/>
      <c r="AM91" s="18"/>
      <c r="AN91" s="18"/>
    </row>
    <row r="92" spans="1:40" x14ac:dyDescent="0.25">
      <c r="C92" s="28"/>
      <c r="E92" s="10"/>
      <c r="F92" s="10"/>
      <c r="G92" s="10"/>
      <c r="H92" s="9"/>
      <c r="I92" s="10"/>
      <c r="J92" s="10"/>
      <c r="O92" s="16"/>
      <c r="P92" s="11"/>
      <c r="Q92" s="11"/>
      <c r="S92" s="20"/>
      <c r="T92" s="22"/>
      <c r="U92" s="18"/>
      <c r="V92" s="18"/>
      <c r="W92" s="18"/>
      <c r="X92" s="18"/>
      <c r="Y92" s="18"/>
      <c r="Z92" s="17"/>
      <c r="AA92" s="36"/>
      <c r="AB92" s="36"/>
      <c r="AC92" s="36"/>
      <c r="AD92" s="36"/>
      <c r="AE92" s="36"/>
      <c r="AF92" s="18"/>
      <c r="AG92" s="17"/>
      <c r="AH92" s="47"/>
      <c r="AI92" s="18"/>
      <c r="AJ92" s="18"/>
      <c r="AK92" s="18"/>
      <c r="AL92" s="18"/>
      <c r="AM92" s="18"/>
      <c r="AN92" s="18"/>
    </row>
    <row r="93" spans="1:40" x14ac:dyDescent="0.25">
      <c r="C93" s="28"/>
      <c r="F93" s="10"/>
      <c r="G93" s="10"/>
      <c r="H93" s="9"/>
      <c r="I93" s="10"/>
      <c r="J93" s="10"/>
      <c r="S93" s="20"/>
      <c r="T93" s="22"/>
      <c r="U93" s="18"/>
      <c r="V93" s="18"/>
      <c r="W93" s="18"/>
      <c r="X93" s="18"/>
      <c r="Y93" s="18"/>
      <c r="Z93" s="17"/>
      <c r="AA93" s="36"/>
      <c r="AB93" s="36"/>
      <c r="AC93" s="36"/>
      <c r="AD93" s="36"/>
      <c r="AE93" s="36"/>
      <c r="AF93" s="18"/>
      <c r="AG93" s="17"/>
      <c r="AH93" s="47"/>
      <c r="AI93" s="18"/>
      <c r="AJ93" s="18"/>
      <c r="AK93" s="18"/>
      <c r="AL93" s="18"/>
      <c r="AM93" s="18"/>
      <c r="AN93" s="18"/>
    </row>
    <row r="94" spans="1:40" x14ac:dyDescent="0.25">
      <c r="B94" s="13" t="s">
        <v>79</v>
      </c>
      <c r="C94" s="28"/>
      <c r="E94" s="50">
        <v>24522.45</v>
      </c>
      <c r="F94" s="50">
        <v>461370.84</v>
      </c>
      <c r="G94" s="50">
        <v>742929.4</v>
      </c>
      <c r="H94" s="50">
        <v>30178.18</v>
      </c>
      <c r="I94" s="50">
        <v>25814.01</v>
      </c>
      <c r="J94" s="50">
        <v>31316.83</v>
      </c>
      <c r="S94" s="20"/>
      <c r="T94" s="22"/>
      <c r="U94" s="18"/>
      <c r="V94" s="18"/>
      <c r="W94" s="18"/>
      <c r="X94" s="18"/>
      <c r="Y94" s="18"/>
      <c r="Z94" s="17"/>
      <c r="AA94" s="36"/>
      <c r="AB94" s="36"/>
      <c r="AC94" s="36"/>
      <c r="AD94" s="36"/>
      <c r="AE94" s="36"/>
      <c r="AF94" s="18"/>
      <c r="AG94" s="17"/>
      <c r="AH94" s="47"/>
      <c r="AI94" s="18"/>
      <c r="AJ94" s="18"/>
      <c r="AK94" s="18"/>
      <c r="AL94" s="18"/>
      <c r="AM94" s="18"/>
      <c r="AN94" s="18"/>
    </row>
    <row r="95" spans="1:40" x14ac:dyDescent="0.25">
      <c r="I95" s="26"/>
      <c r="T95" s="18"/>
      <c r="U95" s="18"/>
      <c r="V95" s="18"/>
      <c r="W95" s="18"/>
      <c r="X95" s="18"/>
      <c r="Y95" s="18"/>
      <c r="Z95" s="18"/>
      <c r="AA95" s="23"/>
      <c r="AB95" s="23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</row>
    <row r="96" spans="1:40" x14ac:dyDescent="0.25">
      <c r="A96" s="14"/>
      <c r="B96" s="13" t="s">
        <v>80</v>
      </c>
      <c r="E96" s="10">
        <f>SUM(E70:E95)</f>
        <v>1343538.7999999998</v>
      </c>
      <c r="F96" s="10">
        <f t="shared" ref="F96:J96" si="35">SUM(F70:F95)</f>
        <v>1303342.58</v>
      </c>
      <c r="G96" s="10">
        <f t="shared" si="35"/>
        <v>1332304.6200000001</v>
      </c>
      <c r="H96" s="10">
        <f t="shared" si="35"/>
        <v>1371937.0599999998</v>
      </c>
      <c r="I96" s="10">
        <f t="shared" si="35"/>
        <v>1250764.05</v>
      </c>
      <c r="J96" s="10">
        <f t="shared" si="35"/>
        <v>1265598.1899999997</v>
      </c>
      <c r="T96" s="18"/>
      <c r="U96" s="18"/>
      <c r="V96" s="18"/>
      <c r="W96" s="18"/>
      <c r="X96" s="18"/>
      <c r="Y96" s="18"/>
      <c r="Z96" s="18"/>
      <c r="AA96" s="23"/>
      <c r="AB96" s="23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</row>
    <row r="97" spans="2:40" x14ac:dyDescent="0.25">
      <c r="B97" s="13" t="s">
        <v>83</v>
      </c>
      <c r="E97" s="10">
        <f>+E96*100/(1656425/120*100)</f>
        <v>97.332904296904474</v>
      </c>
      <c r="F97" s="10">
        <f t="shared" ref="F97:J97" si="36">+F96*100/(1656425/120*100)</f>
        <v>94.420882080383976</v>
      </c>
      <c r="G97" s="10">
        <f t="shared" si="36"/>
        <v>96.519042154036583</v>
      </c>
      <c r="H97" s="10">
        <f t="shared" si="36"/>
        <v>99.390221229454994</v>
      </c>
      <c r="I97" s="10">
        <f t="shared" si="36"/>
        <v>90.611821241529213</v>
      </c>
      <c r="J97" s="10">
        <f t="shared" si="36"/>
        <v>91.686483118764798</v>
      </c>
      <c r="K97" s="10"/>
      <c r="T97" s="18"/>
      <c r="U97" s="18"/>
      <c r="V97" s="18"/>
      <c r="W97" s="18"/>
      <c r="X97" s="18"/>
      <c r="Y97" s="18"/>
      <c r="Z97" s="18"/>
      <c r="AA97" s="23"/>
      <c r="AB97" s="23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</row>
    <row r="98" spans="2:40" x14ac:dyDescent="0.25">
      <c r="T98" s="18"/>
      <c r="U98" s="18"/>
      <c r="V98" s="18"/>
      <c r="W98" s="18"/>
      <c r="X98" s="18"/>
      <c r="Y98" s="18"/>
      <c r="Z98" s="18"/>
      <c r="AA98" s="23"/>
      <c r="AB98" s="23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</row>
    <row r="99" spans="2:40" x14ac:dyDescent="0.25">
      <c r="B99" s="13" t="s">
        <v>132</v>
      </c>
      <c r="E99" s="10">
        <f>SUM(E76:E80)</f>
        <v>1280657.21</v>
      </c>
      <c r="F99" s="10">
        <f t="shared" ref="F99:J99" si="37">SUM(F76:F80)</f>
        <v>769458.18</v>
      </c>
      <c r="G99" s="10">
        <f t="shared" si="37"/>
        <v>512044.5</v>
      </c>
      <c r="H99" s="10">
        <f t="shared" si="37"/>
        <v>1295761.94</v>
      </c>
      <c r="I99" s="10">
        <f t="shared" si="37"/>
        <v>1196734.3800000001</v>
      </c>
      <c r="J99" s="10">
        <f t="shared" si="37"/>
        <v>1191384.0599999998</v>
      </c>
      <c r="T99" s="18"/>
      <c r="U99" s="18"/>
      <c r="V99" s="18"/>
      <c r="W99" s="18"/>
      <c r="X99" s="18"/>
      <c r="Y99" s="18"/>
      <c r="Z99" s="18"/>
      <c r="AA99" s="23"/>
      <c r="AB99" s="23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</row>
    <row r="100" spans="2:40" x14ac:dyDescent="0.25">
      <c r="D100" s="13" t="s">
        <v>40</v>
      </c>
      <c r="E100" s="10">
        <f t="shared" ref="E100:J100" si="38">+E99*100/$E$99</f>
        <v>100</v>
      </c>
      <c r="F100" s="10">
        <f t="shared" si="38"/>
        <v>60.083070941364554</v>
      </c>
      <c r="G100" s="10">
        <f t="shared" si="38"/>
        <v>39.982947505523356</v>
      </c>
      <c r="H100" s="10">
        <f t="shared" si="38"/>
        <v>101.179451447433</v>
      </c>
      <c r="I100" s="10">
        <f t="shared" si="38"/>
        <v>93.446893568029822</v>
      </c>
      <c r="J100" s="10">
        <f t="shared" si="38"/>
        <v>93.02911432482388</v>
      </c>
      <c r="K100" s="16"/>
      <c r="T100" s="18"/>
      <c r="U100" s="18"/>
      <c r="V100" s="18"/>
      <c r="W100" s="18"/>
      <c r="X100" s="18"/>
      <c r="Y100" s="18"/>
      <c r="Z100" s="18"/>
      <c r="AA100" s="23"/>
      <c r="AB100" s="23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</row>
    <row r="101" spans="2:40" x14ac:dyDescent="0.25">
      <c r="T101" s="18"/>
      <c r="U101" s="18"/>
      <c r="V101" s="18"/>
      <c r="W101" s="18"/>
      <c r="X101" s="18"/>
      <c r="Y101" s="18"/>
      <c r="Z101" s="18"/>
      <c r="AA101" s="23"/>
      <c r="AB101" s="23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</row>
    <row r="102" spans="2:40" x14ac:dyDescent="0.25">
      <c r="T102" s="18"/>
      <c r="U102" s="18"/>
      <c r="V102" s="18"/>
      <c r="W102" s="18"/>
      <c r="X102" s="18"/>
      <c r="Y102" s="18"/>
      <c r="Z102" s="18"/>
      <c r="AA102" s="23"/>
      <c r="AB102" s="23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</row>
    <row r="103" spans="2:40" x14ac:dyDescent="0.25">
      <c r="T103" s="18"/>
      <c r="U103" s="18"/>
      <c r="V103" s="18"/>
      <c r="W103" s="18"/>
      <c r="X103" s="18"/>
      <c r="Y103" s="18"/>
      <c r="Z103" s="18"/>
      <c r="AA103" s="23"/>
      <c r="AB103" s="23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</row>
    <row r="104" spans="2:40" x14ac:dyDescent="0.25">
      <c r="T104" s="18"/>
      <c r="U104" s="18"/>
      <c r="V104" s="18"/>
      <c r="W104" s="18"/>
      <c r="X104" s="18"/>
      <c r="Y104" s="18"/>
      <c r="Z104" s="18"/>
      <c r="AA104" s="23"/>
      <c r="AB104" s="23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</row>
    <row r="105" spans="2:40" x14ac:dyDescent="0.25">
      <c r="T105" s="18"/>
      <c r="U105" s="18"/>
      <c r="V105" s="18"/>
      <c r="W105" s="18"/>
      <c r="X105" s="18"/>
      <c r="Y105" s="18"/>
      <c r="Z105" s="18"/>
      <c r="AA105" s="23"/>
      <c r="AB105" s="23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</row>
    <row r="106" spans="2:40" x14ac:dyDescent="0.25">
      <c r="M106" s="18"/>
      <c r="N106" s="18"/>
      <c r="O106" s="18"/>
      <c r="T106" s="18"/>
      <c r="U106" s="18"/>
      <c r="V106" s="18"/>
      <c r="W106" s="18"/>
      <c r="X106" s="18"/>
      <c r="Y106" s="18"/>
      <c r="Z106" s="18"/>
      <c r="AA106" s="23"/>
      <c r="AB106" s="23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</row>
    <row r="107" spans="2:40" x14ac:dyDescent="0.25">
      <c r="M107" s="18"/>
      <c r="N107" s="18"/>
      <c r="O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23"/>
      <c r="AG107" s="23"/>
      <c r="AH107" s="18"/>
      <c r="AI107" s="18"/>
      <c r="AJ107" s="18"/>
      <c r="AK107" s="18"/>
      <c r="AL107" s="18"/>
      <c r="AM107" s="18"/>
      <c r="AN107" s="18"/>
    </row>
    <row r="108" spans="2:40" x14ac:dyDescent="0.25">
      <c r="M108" s="18"/>
      <c r="N108" s="18"/>
      <c r="O108" s="18"/>
      <c r="AF108" s="11"/>
      <c r="AG108" s="11"/>
    </row>
    <row r="109" spans="2:40" x14ac:dyDescent="0.25">
      <c r="M109" s="18"/>
      <c r="N109" s="18"/>
      <c r="O109" s="18"/>
    </row>
    <row r="110" spans="2:40" x14ac:dyDescent="0.25">
      <c r="M110" s="18"/>
      <c r="N110" s="18"/>
      <c r="O110" s="18"/>
    </row>
    <row r="111" spans="2:40" x14ac:dyDescent="0.25">
      <c r="M111" s="18"/>
      <c r="N111" s="18"/>
      <c r="O111" s="18"/>
    </row>
    <row r="112" spans="2:40" x14ac:dyDescent="0.25">
      <c r="M112" s="18"/>
      <c r="N112" s="18"/>
      <c r="O112" s="18"/>
    </row>
    <row r="113" spans="2:34" x14ac:dyDescent="0.25">
      <c r="M113" s="18"/>
      <c r="N113" s="18"/>
      <c r="O113" s="18"/>
    </row>
    <row r="114" spans="2:34" x14ac:dyDescent="0.25">
      <c r="M114" s="18"/>
      <c r="N114" s="18"/>
      <c r="O114" s="18"/>
      <c r="AH114" s="48"/>
    </row>
    <row r="115" spans="2:34" x14ac:dyDescent="0.25">
      <c r="M115" s="18"/>
      <c r="N115" s="18"/>
      <c r="O115" s="18"/>
    </row>
    <row r="116" spans="2:34" x14ac:dyDescent="0.25">
      <c r="M116" s="18"/>
      <c r="N116" s="18"/>
      <c r="O116" s="18"/>
    </row>
    <row r="117" spans="2:34" x14ac:dyDescent="0.25">
      <c r="N117" s="18"/>
      <c r="O117" s="18"/>
    </row>
    <row r="118" spans="2:34" x14ac:dyDescent="0.25">
      <c r="N118" s="18"/>
      <c r="O118" s="18"/>
    </row>
    <row r="119" spans="2:34" x14ac:dyDescent="0.25">
      <c r="M119" s="18"/>
      <c r="N119" s="18"/>
      <c r="O119" s="18"/>
    </row>
    <row r="120" spans="2:34" x14ac:dyDescent="0.25"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2:34" x14ac:dyDescent="0.25"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2:34" x14ac:dyDescent="0.25">
      <c r="B122" s="18"/>
      <c r="C122" s="18"/>
      <c r="D122" s="32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2:34" x14ac:dyDescent="0.25">
      <c r="B123" s="18"/>
      <c r="C123" s="18"/>
      <c r="D123" s="32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2:34" x14ac:dyDescent="0.25"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2:34" x14ac:dyDescent="0.25">
      <c r="B125" s="17"/>
      <c r="C125" s="18"/>
      <c r="D125" s="18"/>
      <c r="E125" s="18"/>
      <c r="F125" s="18"/>
      <c r="G125" s="18"/>
      <c r="H125" s="17"/>
      <c r="I125" s="17"/>
      <c r="J125" s="18"/>
      <c r="K125" s="18"/>
      <c r="L125" s="18"/>
      <c r="M125" s="18"/>
      <c r="N125" s="18"/>
      <c r="O125" s="18"/>
    </row>
    <row r="126" spans="2:34" x14ac:dyDescent="0.25">
      <c r="B126" s="17"/>
      <c r="C126" s="18"/>
      <c r="D126" s="18"/>
      <c r="E126" s="37"/>
      <c r="F126" s="37"/>
      <c r="G126" s="18"/>
      <c r="H126" s="17"/>
      <c r="I126" s="17"/>
      <c r="J126" s="18"/>
      <c r="K126" s="18"/>
      <c r="L126" s="18"/>
      <c r="M126" s="18"/>
      <c r="N126" s="18"/>
      <c r="O126" s="18"/>
    </row>
    <row r="127" spans="2:34" x14ac:dyDescent="0.25">
      <c r="B127" s="17"/>
      <c r="C127" s="18"/>
      <c r="D127" s="18"/>
      <c r="E127" s="31"/>
      <c r="F127" s="31"/>
      <c r="G127" s="18"/>
      <c r="H127" s="17"/>
      <c r="I127" s="17"/>
      <c r="J127" s="18"/>
      <c r="K127" s="18"/>
      <c r="L127" s="18"/>
      <c r="M127" s="18"/>
      <c r="N127" s="18"/>
      <c r="O127" s="18"/>
    </row>
    <row r="128" spans="2:34" x14ac:dyDescent="0.25">
      <c r="B128" s="17"/>
      <c r="C128" s="18"/>
      <c r="D128" s="18"/>
      <c r="E128" s="31"/>
      <c r="F128" s="31"/>
      <c r="G128" s="18"/>
      <c r="H128" s="17"/>
      <c r="I128" s="17"/>
      <c r="J128" s="18"/>
      <c r="K128" s="18"/>
      <c r="L128" s="18"/>
      <c r="M128" s="18"/>
      <c r="N128" s="18"/>
      <c r="O128" s="18"/>
    </row>
    <row r="129" spans="2:15" x14ac:dyDescent="0.25">
      <c r="B129" s="17"/>
      <c r="C129" s="18"/>
      <c r="D129" s="18"/>
      <c r="E129" s="31"/>
      <c r="F129" s="31"/>
      <c r="G129" s="18"/>
      <c r="H129" s="17"/>
      <c r="I129" s="17"/>
      <c r="J129" s="18"/>
      <c r="K129" s="18"/>
      <c r="L129" s="18"/>
      <c r="M129" s="18"/>
      <c r="N129" s="18"/>
      <c r="O129" s="18"/>
    </row>
    <row r="130" spans="2:15" x14ac:dyDescent="0.25">
      <c r="B130" s="17"/>
      <c r="C130" s="18"/>
      <c r="D130" s="18"/>
      <c r="E130" s="18"/>
      <c r="F130" s="18"/>
      <c r="G130" s="18"/>
      <c r="H130" s="17"/>
      <c r="I130" s="17"/>
      <c r="J130" s="18"/>
      <c r="K130" s="18"/>
      <c r="L130" s="18"/>
      <c r="M130" s="18"/>
      <c r="N130" s="18"/>
      <c r="O130" s="18"/>
    </row>
    <row r="131" spans="2:15" x14ac:dyDescent="0.25">
      <c r="B131" s="17"/>
      <c r="C131" s="18"/>
      <c r="D131" s="18"/>
      <c r="E131" s="18"/>
      <c r="F131" s="18"/>
      <c r="G131" s="18"/>
      <c r="H131" s="17"/>
      <c r="I131" s="17"/>
      <c r="J131" s="18"/>
      <c r="K131" s="18"/>
      <c r="L131" s="18"/>
      <c r="M131" s="18"/>
      <c r="N131" s="18"/>
      <c r="O131" s="18"/>
    </row>
    <row r="132" spans="2:15" x14ac:dyDescent="0.25">
      <c r="B132" s="17"/>
      <c r="C132" s="34"/>
      <c r="D132" s="18"/>
      <c r="E132" s="18"/>
      <c r="F132" s="18"/>
      <c r="G132" s="18"/>
      <c r="H132" s="17"/>
      <c r="I132" s="17"/>
      <c r="J132" s="18"/>
      <c r="K132" s="18"/>
      <c r="L132" s="18"/>
      <c r="M132" s="18"/>
    </row>
    <row r="133" spans="2:15" x14ac:dyDescent="0.25">
      <c r="B133" s="18"/>
      <c r="C133" s="34"/>
      <c r="D133" s="18"/>
      <c r="E133" s="31"/>
      <c r="F133" s="31"/>
      <c r="G133" s="18"/>
      <c r="H133" s="18"/>
      <c r="I133" s="18"/>
      <c r="J133" s="18"/>
      <c r="K133" s="18"/>
      <c r="L133" s="18"/>
      <c r="M133" s="18"/>
    </row>
    <row r="134" spans="2:15" x14ac:dyDescent="0.25">
      <c r="C134" s="34"/>
      <c r="D134" s="31"/>
      <c r="E134" s="31"/>
      <c r="F134" s="31"/>
      <c r="G134" s="18"/>
    </row>
    <row r="136" spans="2:15" x14ac:dyDescent="0.25">
      <c r="D136" s="10"/>
      <c r="E136" s="10"/>
      <c r="F136" s="10"/>
    </row>
    <row r="138" spans="2:15" x14ac:dyDescent="0.25">
      <c r="D138" s="10"/>
      <c r="E138" s="10"/>
      <c r="F138" s="10"/>
    </row>
    <row r="139" spans="2:15" x14ac:dyDescent="0.25">
      <c r="D139" s="10"/>
      <c r="E139" s="10"/>
      <c r="F139" s="10"/>
    </row>
    <row r="140" spans="2:15" x14ac:dyDescent="0.25">
      <c r="F140" s="26"/>
    </row>
    <row r="141" spans="2:15" x14ac:dyDescent="0.25">
      <c r="B141" s="16"/>
      <c r="I141" s="10"/>
      <c r="J141" s="10"/>
    </row>
    <row r="142" spans="2:15" x14ac:dyDescent="0.25">
      <c r="I142" s="10"/>
      <c r="J142" s="10"/>
    </row>
    <row r="144" spans="2:15" x14ac:dyDescent="0.25">
      <c r="H144" s="26"/>
    </row>
    <row r="145" spans="1:9" x14ac:dyDescent="0.25">
      <c r="C145" s="21"/>
      <c r="D145" s="10"/>
      <c r="E145" s="10"/>
    </row>
    <row r="147" spans="1:9" x14ac:dyDescent="0.25">
      <c r="A147" s="14"/>
      <c r="I147" s="35"/>
    </row>
    <row r="150" spans="1:9" x14ac:dyDescent="0.25">
      <c r="F150" s="16"/>
    </row>
    <row r="151" spans="1:9" x14ac:dyDescent="0.25">
      <c r="F151" s="16"/>
    </row>
    <row r="152" spans="1:9" x14ac:dyDescent="0.25">
      <c r="F152" s="16"/>
    </row>
    <row r="153" spans="1:9" x14ac:dyDescent="0.25">
      <c r="F153" s="16"/>
    </row>
    <row r="157" spans="1:9" x14ac:dyDescent="0.25">
      <c r="H157" s="19"/>
      <c r="I157" s="10"/>
    </row>
  </sheetData>
  <mergeCells count="1">
    <mergeCell ref="W4:X4"/>
  </mergeCells>
  <pageMargins left="0.70866141732283472" right="0.70866141732283472" top="0.78740157480314965" bottom="0.78740157480314965" header="0.31496062992125984" footer="0.31496062992125984"/>
  <pageSetup paperSize="9" scale="52" orientation="landscape" verticalDpi="0" r:id="rId1"/>
  <headerFooter>
    <oddHeader>&amp;L&amp;F</oddHeader>
  </headerFooter>
  <rowBreaks count="1" manualBreakCount="1">
    <brk id="49" max="58" man="1"/>
  </rowBreaks>
  <colBreaks count="1" manualBreakCount="1">
    <brk id="18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7:J11"/>
  <sheetViews>
    <sheetView workbookViewId="0">
      <selection activeCell="J11" sqref="J11"/>
    </sheetView>
  </sheetViews>
  <sheetFormatPr baseColWidth="10" defaultRowHeight="15" x14ac:dyDescent="0.25"/>
  <cols>
    <col min="4" max="4" width="14.5703125" customWidth="1"/>
    <col min="5" max="6" width="14.28515625" customWidth="1"/>
    <col min="7" max="8" width="15" customWidth="1"/>
    <col min="9" max="10" width="16.140625" customWidth="1"/>
  </cols>
  <sheetData>
    <row r="7" spans="4:10" ht="30.75" customHeight="1" x14ac:dyDescent="0.25">
      <c r="E7" s="81" t="s">
        <v>17</v>
      </c>
      <c r="F7" s="82"/>
      <c r="G7" s="81" t="s">
        <v>16</v>
      </c>
      <c r="H7" s="82"/>
      <c r="I7" s="83" t="s">
        <v>18</v>
      </c>
      <c r="J7" s="84"/>
    </row>
    <row r="8" spans="4:10" ht="18.75" customHeight="1" x14ac:dyDescent="0.25">
      <c r="E8" s="6" t="s">
        <v>13</v>
      </c>
      <c r="F8" s="7" t="s">
        <v>0</v>
      </c>
      <c r="G8" s="6" t="s">
        <v>13</v>
      </c>
      <c r="H8" s="7" t="s">
        <v>0</v>
      </c>
      <c r="I8" s="6" t="s">
        <v>13</v>
      </c>
      <c r="J8" s="7" t="s">
        <v>0</v>
      </c>
    </row>
    <row r="9" spans="4:10" x14ac:dyDescent="0.25">
      <c r="D9" s="1" t="s">
        <v>7</v>
      </c>
      <c r="E9" s="2">
        <v>1</v>
      </c>
      <c r="F9" s="3">
        <v>1</v>
      </c>
      <c r="G9" s="2">
        <v>1</v>
      </c>
      <c r="H9" s="3">
        <v>1</v>
      </c>
      <c r="I9" s="2">
        <v>1</v>
      </c>
      <c r="J9" s="3">
        <v>1</v>
      </c>
    </row>
    <row r="10" spans="4:10" x14ac:dyDescent="0.25">
      <c r="D10" s="8" t="s">
        <v>14</v>
      </c>
      <c r="E10" s="2">
        <v>0.87</v>
      </c>
      <c r="F10" s="3">
        <v>0.7</v>
      </c>
      <c r="G10" s="2">
        <v>1.01</v>
      </c>
      <c r="H10" s="3">
        <v>0.99</v>
      </c>
      <c r="I10" s="2">
        <v>0.87</v>
      </c>
      <c r="J10" s="3">
        <v>0.36</v>
      </c>
    </row>
    <row r="11" spans="4:10" x14ac:dyDescent="0.25">
      <c r="D11" s="8" t="s">
        <v>15</v>
      </c>
      <c r="E11" s="4">
        <v>0.86</v>
      </c>
      <c r="F11" s="5">
        <v>0.63</v>
      </c>
      <c r="G11" s="4">
        <v>1.03</v>
      </c>
      <c r="H11" s="5">
        <v>0.9</v>
      </c>
      <c r="I11" s="4">
        <v>1.1200000000000001</v>
      </c>
      <c r="J11" s="5">
        <v>0.47</v>
      </c>
    </row>
  </sheetData>
  <mergeCells count="3">
    <mergeCell ref="E7:F7"/>
    <mergeCell ref="G7:H7"/>
    <mergeCell ref="I7:J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Tabelle1</vt:lpstr>
      <vt:lpstr>Tabelle2</vt:lpstr>
      <vt:lpstr>Tabelle1!Druckbereich</vt:lpstr>
    </vt:vector>
  </TitlesOfParts>
  <Company>HZDR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Deuther-Conrad, Dr. Winnie (FWPN) - 1508</dc:creator>
  <cp:lastModifiedBy>Deuther-Conrad, Dr. Winnie (FWPN) - 1508</cp:lastModifiedBy>
  <cp:lastPrinted>2026-01-06T07:51:31Z</cp:lastPrinted>
  <dcterms:created xsi:type="dcterms:W3CDTF">2024-02-29T11:10:18Z</dcterms:created>
  <dcterms:modified xsi:type="dcterms:W3CDTF">2026-03-04T09:41:03Z</dcterms:modified>
</cp:coreProperties>
</file>