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xr:revisionPtr revIDLastSave="0" documentId="13_ncr:1_{7F678D23-B3DE-4117-BFF7-1B9E29B8C927}" xr6:coauthVersionLast="47" xr6:coauthVersionMax="47" xr10:uidLastSave="{00000000-0000-0000-0000-000000000000}"/>
  <bookViews>
    <workbookView xWindow="3570" yWindow="1980" windowWidth="22710" windowHeight="11385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Tabelle1!$A$1:$AE$141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65" i="1" l="1"/>
  <c r="X65" i="1" s="1"/>
  <c r="V66" i="1"/>
  <c r="V67" i="1"/>
  <c r="V68" i="1"/>
  <c r="X68" i="1" s="1"/>
  <c r="V64" i="1"/>
  <c r="V63" i="1"/>
  <c r="X67" i="1"/>
  <c r="X66" i="1"/>
  <c r="X63" i="1"/>
  <c r="AB63" i="1" s="1"/>
  <c r="Q65" i="1"/>
  <c r="Q66" i="1"/>
  <c r="Q67" i="1"/>
  <c r="Q68" i="1"/>
  <c r="Q63" i="1"/>
  <c r="P64" i="1"/>
  <c r="P65" i="1"/>
  <c r="P66" i="1"/>
  <c r="P67" i="1"/>
  <c r="P68" i="1"/>
  <c r="P63" i="1"/>
  <c r="J129" i="1"/>
  <c r="G129" i="1"/>
  <c r="E129" i="1"/>
  <c r="N38" i="1"/>
  <c r="P75" i="1" s="1"/>
  <c r="U35" i="1"/>
  <c r="N40" i="1" s="1"/>
  <c r="T35" i="1"/>
  <c r="U34" i="1"/>
  <c r="N39" i="1" s="1"/>
  <c r="T34" i="1"/>
  <c r="U33" i="1"/>
  <c r="T33" i="1"/>
  <c r="U32" i="1"/>
  <c r="V32" i="1" s="1"/>
  <c r="T32" i="1"/>
  <c r="U31" i="1"/>
  <c r="V31" i="1" s="1"/>
  <c r="T31" i="1"/>
  <c r="U30" i="1"/>
  <c r="V30" i="1" s="1"/>
  <c r="T30" i="1"/>
  <c r="U29" i="1"/>
  <c r="V29" i="1" s="1"/>
  <c r="T29" i="1"/>
  <c r="X64" i="1" l="1"/>
  <c r="AB68" i="1"/>
  <c r="AA68" i="1"/>
  <c r="Z68" i="1"/>
  <c r="Z66" i="1"/>
  <c r="AA66" i="1"/>
  <c r="AB66" i="1"/>
  <c r="Z65" i="1"/>
  <c r="AB65" i="1"/>
  <c r="AA65" i="1"/>
  <c r="AA67" i="1"/>
  <c r="Z67" i="1"/>
  <c r="AB67" i="1"/>
  <c r="Z63" i="1"/>
  <c r="AA63" i="1"/>
  <c r="O63" i="1"/>
  <c r="O72" i="1" s="1"/>
  <c r="Q74" i="1"/>
  <c r="O68" i="1"/>
  <c r="O77" i="1" s="1"/>
  <c r="P77" i="1"/>
  <c r="P74" i="1"/>
  <c r="Q77" i="1"/>
  <c r="O67" i="1"/>
  <c r="O76" i="1" s="1"/>
  <c r="Q76" i="1"/>
  <c r="P73" i="1"/>
  <c r="O66" i="1"/>
  <c r="O75" i="1" s="1"/>
  <c r="P76" i="1"/>
  <c r="O65" i="1"/>
  <c r="O74" i="1" s="1"/>
  <c r="Q75" i="1"/>
  <c r="P72" i="1"/>
  <c r="Q72" i="1"/>
  <c r="O64" i="1"/>
  <c r="O73" i="1" s="1"/>
  <c r="AA64" i="1" l="1"/>
  <c r="Z64" i="1"/>
  <c r="U54" i="1"/>
  <c r="U55" i="1"/>
  <c r="U56" i="1"/>
  <c r="U57" i="1"/>
  <c r="U52" i="1"/>
  <c r="T53" i="1"/>
  <c r="T54" i="1"/>
  <c r="T55" i="1"/>
  <c r="T56" i="1"/>
  <c r="T57" i="1"/>
  <c r="T52" i="1"/>
  <c r="S53" i="1"/>
  <c r="S54" i="1"/>
  <c r="S55" i="1"/>
  <c r="S56" i="1"/>
  <c r="S57" i="1"/>
  <c r="S52" i="1"/>
  <c r="Q54" i="1"/>
  <c r="Q55" i="1"/>
  <c r="Q56" i="1"/>
  <c r="Q57" i="1"/>
  <c r="Q52" i="1"/>
  <c r="P54" i="1"/>
  <c r="P55" i="1"/>
  <c r="P56" i="1"/>
  <c r="P57" i="1"/>
  <c r="P53" i="1"/>
  <c r="P52" i="1"/>
  <c r="O54" i="1"/>
  <c r="O55" i="1"/>
  <c r="O56" i="1"/>
  <c r="O57" i="1"/>
  <c r="O53" i="1"/>
  <c r="J74" i="1"/>
  <c r="J75" i="1"/>
  <c r="J76" i="1"/>
  <c r="J77" i="1"/>
  <c r="J78" i="1"/>
  <c r="J79" i="1"/>
  <c r="J73" i="1"/>
  <c r="I74" i="1"/>
  <c r="I75" i="1"/>
  <c r="I76" i="1"/>
  <c r="I77" i="1"/>
  <c r="I78" i="1"/>
  <c r="I79" i="1"/>
  <c r="H74" i="1"/>
  <c r="H75" i="1"/>
  <c r="H76" i="1"/>
  <c r="H77" i="1"/>
  <c r="H78" i="1"/>
  <c r="H79" i="1"/>
  <c r="H73" i="1"/>
  <c r="J63" i="1"/>
  <c r="J64" i="1"/>
  <c r="J65" i="1"/>
  <c r="J66" i="1"/>
  <c r="J67" i="1"/>
  <c r="J68" i="1"/>
  <c r="J62" i="1"/>
  <c r="I63" i="1"/>
  <c r="I64" i="1"/>
  <c r="I65" i="1"/>
  <c r="I66" i="1"/>
  <c r="I67" i="1"/>
  <c r="I68" i="1"/>
  <c r="H68" i="1"/>
  <c r="H63" i="1"/>
  <c r="H64" i="1"/>
  <c r="H65" i="1"/>
  <c r="H66" i="1"/>
  <c r="H67" i="1"/>
  <c r="H62" i="1"/>
  <c r="H52" i="1"/>
  <c r="J52" i="1" s="1"/>
  <c r="H53" i="1"/>
  <c r="H54" i="1"/>
  <c r="H55" i="1"/>
  <c r="H56" i="1"/>
  <c r="H57" i="1"/>
  <c r="H51" i="1"/>
  <c r="J51" i="1" s="1"/>
  <c r="J53" i="1"/>
  <c r="J54" i="1"/>
  <c r="J55" i="1"/>
  <c r="J56" i="1"/>
  <c r="J57" i="1"/>
  <c r="K30" i="1"/>
  <c r="K28" i="1"/>
  <c r="B5" i="1"/>
  <c r="E16" i="1"/>
  <c r="I57" i="1" l="1"/>
  <c r="I73" i="1"/>
  <c r="I62" i="1" l="1"/>
  <c r="J22" i="1"/>
  <c r="O52" i="1" l="1"/>
  <c r="I51" i="1"/>
  <c r="I56" i="1"/>
  <c r="I55" i="1"/>
  <c r="I54" i="1"/>
  <c r="I53" i="1"/>
  <c r="I52" i="1"/>
  <c r="H30" i="1"/>
  <c r="K31" i="1" l="1"/>
  <c r="H31" i="1"/>
  <c r="K32" i="1" l="1"/>
  <c r="H32" i="1"/>
  <c r="J14" i="1"/>
  <c r="K33" i="1" l="1"/>
  <c r="H33" i="1"/>
  <c r="E17" i="1"/>
  <c r="H38" i="1" s="1"/>
  <c r="K34" i="1" l="1"/>
  <c r="H34" i="1"/>
  <c r="D21" i="1"/>
  <c r="M20" i="1"/>
  <c r="K20" i="1"/>
  <c r="J21" i="1" l="1"/>
  <c r="N20" i="1"/>
  <c r="K24" i="1" l="1"/>
  <c r="K25" i="1"/>
</calcChain>
</file>

<file path=xl/sharedStrings.xml><?xml version="1.0" encoding="utf-8"?>
<sst xmlns="http://schemas.openxmlformats.org/spreadsheetml/2006/main" count="161" uniqueCount="98">
  <si>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</si>
  <si>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</si>
  <si>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</si>
  <si>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</si>
  <si>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</si>
  <si>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</si>
  <si>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</si>
  <si>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</si>
  <si>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</si>
  <si>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</si>
  <si>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</si>
  <si>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</si>
  <si>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</si>
  <si>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</si>
  <si>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</si>
  <si>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</si>
  <si>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</si>
  <si>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</si>
  <si>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</si>
  <si>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</si>
  <si>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</si>
  <si>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</si>
  <si>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</si>
  <si>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</si>
  <si>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</si>
  <si>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</si>
  <si>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</si>
  <si>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</si>
  <si>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</si>
  <si>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</si>
  <si>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</si>
  <si>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</si>
  <si>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</si>
  <si>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</si>
  <si>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</si>
  <si>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</si>
  <si>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</si>
  <si>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AG-120</t>
  </si>
  <si>
    <t>stock</t>
  </si>
  <si>
    <t>transfer to Brandel</t>
  </si>
  <si>
    <t>BAY</t>
  </si>
  <si>
    <t>%TB</t>
  </si>
  <si>
    <t>+ 100</t>
  </si>
  <si>
    <t>10x competitor (10-5 - 10-9) resp. buffer</t>
  </si>
  <si>
    <t>IDH1R132H-U251</t>
  </si>
  <si>
    <t>Abs 570 nm</t>
  </si>
  <si>
    <t>µg/ml</t>
  </si>
  <si>
    <t>Korr. Verd.</t>
  </si>
  <si>
    <t>20 mM TRIS, pH 7.5, 150 mM NaCl, 10 mM MgCl2, 0.00045 % Tween 20, 0.2 mM DTT (aus frisch angesetzter 1 M DTT Lösung)</t>
  </si>
  <si>
    <t>µg protein  per incubation vial</t>
  </si>
  <si>
    <t>Total binding</t>
  </si>
  <si>
    <t>Specific binding (1 µM BAY = nonspecific binding)</t>
  </si>
  <si>
    <t>CPM, spec.</t>
  </si>
  <si>
    <t>specific</t>
  </si>
  <si>
    <t>-</t>
  </si>
  <si>
    <t>CPM spec/µg protein</t>
  </si>
  <si>
    <t>mol AG120/µg protein</t>
  </si>
  <si>
    <t>+ AG-120</t>
  </si>
  <si>
    <t>total</t>
  </si>
  <si>
    <t>IDH buffer(+ Tween, + DTT )</t>
  </si>
  <si>
    <t>75 µl original + 6 ml IDH buffer (+ Tween + DTT</t>
  </si>
  <si>
    <t>MBq (10:45; Lab. 254)</t>
  </si>
  <si>
    <t>10 µl (= 92 kBq)</t>
  </si>
  <si>
    <t>1,5 µl +148,5 µl PBS</t>
  </si>
  <si>
    <t>120 + 1080</t>
  </si>
  <si>
    <t>100+900</t>
  </si>
  <si>
    <t xml:space="preserve">Gesamt bzw. Überstand bzw Sediment working solution </t>
  </si>
  <si>
    <t>18F-AG120 working solution (=  16564250 CPM)</t>
  </si>
  <si>
    <t>glas vials, shaker, 300 rpm, rt, 11:00-12:45</t>
  </si>
  <si>
    <t>filtration via GF-B (Hahnemühle, 2-layered, incubated in freshly prepared 0.3% PEI solution for the time of the incubation; used directly without prefiltration; change of washing solution in the system before! Placement of the GFB filter!) with water) and 3x washing</t>
  </si>
  <si>
    <t>washing solution: 50 mM TROS-HCl, pH 7.4 at 4°C</t>
  </si>
  <si>
    <t xml:space="preserve">Incubation </t>
  </si>
  <si>
    <t>Gesamt</t>
  </si>
  <si>
    <t>1210419,65*</t>
  </si>
  <si>
    <t>*</t>
  </si>
  <si>
    <t>problems during filtration due to uínsufficient sealing (defective O-ring)</t>
  </si>
  <si>
    <t>% of applied dose (16564250 CPM)</t>
  </si>
  <si>
    <t>Überstand</t>
  </si>
  <si>
    <t>Sediment</t>
  </si>
  <si>
    <t>Total</t>
  </si>
  <si>
    <t>% Specific</t>
  </si>
  <si>
    <t>Barbara Wenzel (email 15.12.)</t>
  </si>
  <si>
    <t>Filtrations- und SEC-Versuche 10.12.2025</t>
  </si>
  <si>
    <t>BCA_1 (whole cell lysate R132H; 1/10)</t>
  </si>
  <si>
    <t>BCA_2 (whole cell lysate IDH1; 1/10)</t>
  </si>
  <si>
    <t>BCA_3 (Überstand IDH1; 1/10)</t>
  </si>
  <si>
    <t>BCA_4 (Überstand R132H; 1/10)</t>
  </si>
  <si>
    <t>BCA_5 (Filtration Gesamt R132H)</t>
  </si>
  <si>
    <t>BCA_6 (Filtration Überstand R132H)</t>
  </si>
  <si>
    <t>BCA_7 (Filtration Sediment R132H)</t>
  </si>
  <si>
    <t>Lysate kombinieren, ca. 2 ml graue Kanüle -&gt; 1/10 BCA_1 = 9.6 mg protein/ml; 1 ml-&gt; 15.060 rpm, 25 min, 4°C  -&gt; Überstand -&gt; 1/10 BCA_4 = 4.6 mg protein/ml; Sediment</t>
  </si>
  <si>
    <t>1 ml Lysat bzw. Überstand bzw. Sediment auffüllen auf 15 ml mit IDH-Puffer (+ DTT) für Gesamt (G; -&gt; BCA = 0.4 mg/ml), Überstand (Ü; -&gt; BCA = 0.26 mg/ml) und Sediment (S; -&gt; BCA = 0.43 mg/ml) Ansätze</t>
  </si>
  <si>
    <t>IC50</t>
  </si>
  <si>
    <t>Ki</t>
  </si>
  <si>
    <t>Transformation für Auswertung als Sättigungskurve</t>
  </si>
  <si>
    <t>korr. CPM spec/µg protein</t>
  </si>
  <si>
    <t>AG-120 gesamt (nM)</t>
  </si>
  <si>
    <t>korr.faktor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</si>
</sst>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E+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0" fillId="0" borderId="0" xfId="0" applyNumberFormat="1" applyFill="1" applyBorder="1"/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20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11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0" fontId="0" fillId="0" borderId="0" xfId="0" applyAlignment="1">
      <alignment horizontal="center"/>
    </xf>
    <xf numFmtId="165" fontId="7" fillId="0" borderId="0" xfId="0" applyNumberFormat="1" applyFont="1" applyFill="1"/>
    <xf numFmtId="1" fontId="7" fillId="0" borderId="0" xfId="0" applyNumberFormat="1" applyFont="1" applyFill="1"/>
    <xf numFmtId="164" fontId="3" fillId="0" borderId="0" xfId="0" applyNumberFormat="1" applyFont="1"/>
    <xf numFmtId="1" fontId="7" fillId="0" borderId="0" xfId="0" applyNumberFormat="1" applyFont="1"/>
    <xf numFmtId="165" fontId="7" fillId="0" borderId="0" xfId="0" applyNumberFormat="1" applyFont="1" applyFill="1" applyBorder="1"/>
    <xf numFmtId="0" fontId="3" fillId="0" borderId="0" xfId="0" quotePrefix="1" applyFont="1" applyFill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8" fillId="0" borderId="0" xfId="0" applyNumberFormat="1" applyFont="1"/>
    <xf numFmtId="1" fontId="0" fillId="0" borderId="0" xfId="0" applyNumberFormat="1"/>
    <xf numFmtId="1" fontId="5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165" fontId="9" fillId="0" borderId="0" xfId="0" applyNumberFormat="1" applyFont="1"/>
    <xf numFmtId="1" fontId="9" fillId="0" borderId="0" xfId="0" applyNumberFormat="1" applyFont="1"/>
    <xf numFmtId="1" fontId="0" fillId="0" borderId="0" xfId="0" quotePrefix="1" applyNumberFormat="1" applyFont="1" applyFill="1"/>
    <xf numFmtId="166" fontId="0" fillId="0" borderId="0" xfId="0" applyNumberFormat="1" applyFont="1" applyFill="1"/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358589</xdr:colOff>
      <xdr:row>81</xdr:row>
      <xdr:rowOff>112059</xdr:rowOff>
    </xdr:from>
    <xdr:to>
      <xdr:col>11</xdr:col>
      <xdr:colOff>714423</xdr:colOff>
      <xdr:row>126</xdr:row>
      <xdr:rowOff>25273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48B67FA-DB12-24B7-DCEB-3010EE201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2942" y="15542559"/>
          <a:ext cx="8580952" cy="8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7"/>
  <sheetViews>
    <sheetView tabSelected="1" topLeftCell="I36" zoomScale="85" zoomScaleNormal="85" zoomScaleSheetLayoutView="55" workbookViewId="0">
      <selection activeCell="Z46" sqref="Z46"/>
    </sheetView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46001</v>
      </c>
      <c r="N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L2" s="39"/>
      <c r="M2" s="39"/>
      <c r="N2"/>
      <c r="Z2"/>
      <c r="AA2"/>
      <c r="AB2"/>
      <c r="AC2"/>
      <c r="AD2"/>
      <c r="AE2" s="39"/>
      <c r="AF2" s="18"/>
      <c r="AG2" s="18"/>
      <c r="AH2" s="31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44</v>
      </c>
      <c r="B3" s="13">
        <v>53</v>
      </c>
      <c r="C3" s="13" t="s">
        <v>35</v>
      </c>
      <c r="D3" s="15">
        <v>45821</v>
      </c>
      <c r="E3" s="63"/>
      <c r="F3" s="13">
        <v>80</v>
      </c>
      <c r="G3" s="13" t="s">
        <v>35</v>
      </c>
      <c r="H3" s="15">
        <v>45995</v>
      </c>
      <c r="L3" s="39"/>
      <c r="M3" s="39"/>
      <c r="N3"/>
      <c r="Z3"/>
      <c r="AA3"/>
      <c r="AB3"/>
      <c r="AC3"/>
      <c r="AD3"/>
      <c r="AE3" s="39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B4" s="13">
        <v>30</v>
      </c>
      <c r="C4" s="13" t="s">
        <v>36</v>
      </c>
      <c r="D4" s="15">
        <v>45828</v>
      </c>
      <c r="E4" s="63"/>
      <c r="F4" s="13">
        <v>55</v>
      </c>
      <c r="G4" s="13" t="s">
        <v>36</v>
      </c>
      <c r="H4" s="15">
        <v>45835</v>
      </c>
      <c r="I4" s="16"/>
      <c r="L4" s="39"/>
      <c r="M4" s="39"/>
      <c r="N4"/>
      <c r="Z4"/>
      <c r="AA4"/>
      <c r="AB4"/>
      <c r="AC4"/>
      <c r="AD4"/>
      <c r="AE4" s="39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A5" s="22" t="s">
        <v>58</v>
      </c>
      <c r="B5" s="13">
        <f>SUM(B3:B4,F3:F4)</f>
        <v>218</v>
      </c>
      <c r="C5" s="13" t="s">
        <v>36</v>
      </c>
      <c r="D5" s="15"/>
      <c r="E5" s="63"/>
      <c r="H5" s="16"/>
      <c r="I5" s="16"/>
      <c r="L5" s="39"/>
      <c r="M5" s="39"/>
      <c r="N5"/>
      <c r="Z5"/>
      <c r="AA5"/>
      <c r="AB5"/>
      <c r="AC5"/>
      <c r="AD5"/>
      <c r="AE5" s="39"/>
      <c r="AF5" s="18"/>
      <c r="AG5" s="18"/>
      <c r="AH5" s="31"/>
      <c r="AI5" s="9"/>
      <c r="AJ5" s="17"/>
      <c r="AK5" s="31"/>
      <c r="AL5" s="17"/>
      <c r="AM5" s="17"/>
      <c r="AN5" s="17"/>
      <c r="AO5" s="18"/>
      <c r="AR5" s="18"/>
    </row>
    <row r="6" spans="1:44" x14ac:dyDescent="0.25">
      <c r="B6" s="13" t="s">
        <v>90</v>
      </c>
      <c r="D6" s="15"/>
      <c r="E6" s="63"/>
      <c r="H6" s="16"/>
      <c r="J6" s="16"/>
      <c r="L6" s="39"/>
      <c r="M6" s="39"/>
      <c r="N6"/>
      <c r="Z6"/>
      <c r="AA6"/>
      <c r="AB6"/>
      <c r="AC6"/>
      <c r="AD6"/>
      <c r="AE6" s="39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6" t="s">
        <v>91</v>
      </c>
      <c r="D7" s="15"/>
      <c r="E7" s="63"/>
      <c r="I7" s="16"/>
      <c r="L7" s="39"/>
      <c r="M7" s="39"/>
      <c r="N7"/>
      <c r="Z7"/>
      <c r="AA7"/>
      <c r="AB7"/>
      <c r="AC7"/>
      <c r="AD7"/>
      <c r="AE7" s="39"/>
      <c r="AL7" s="18"/>
      <c r="AM7" s="18"/>
      <c r="AN7" s="18"/>
      <c r="AO7" s="18"/>
      <c r="AR7" s="18"/>
    </row>
    <row r="8" spans="1:44" x14ac:dyDescent="0.25">
      <c r="A8" s="14"/>
      <c r="J8" s="16"/>
      <c r="L8" s="39"/>
      <c r="M8" s="39"/>
      <c r="N8"/>
      <c r="Z8"/>
      <c r="AA8"/>
      <c r="AB8"/>
      <c r="AC8"/>
      <c r="AD8"/>
      <c r="AE8" s="39"/>
      <c r="AL8" s="18"/>
      <c r="AM8" s="18"/>
      <c r="AN8" s="18"/>
      <c r="AO8" s="18"/>
      <c r="AR8" s="18"/>
    </row>
    <row r="9" spans="1:44" x14ac:dyDescent="0.25">
      <c r="A9" s="14" t="s">
        <v>59</v>
      </c>
      <c r="C9" s="13" t="s">
        <v>48</v>
      </c>
      <c r="L9" s="39"/>
      <c r="M9" s="39"/>
      <c r="N9" s="40"/>
      <c r="O9" s="39"/>
      <c r="P9" s="41"/>
      <c r="Q9" s="72"/>
      <c r="R9" s="72"/>
      <c r="S9" s="68"/>
      <c r="T9" s="69"/>
      <c r="U9" s="71"/>
      <c r="V9" s="70"/>
      <c r="W9" s="18"/>
      <c r="Y9"/>
      <c r="Z9"/>
      <c r="AA9"/>
      <c r="AB9"/>
      <c r="AC9"/>
      <c r="AD9"/>
      <c r="AE9" s="39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L10" s="39"/>
      <c r="M10" s="39"/>
      <c r="N10" s="40"/>
      <c r="O10" s="39"/>
      <c r="P10" s="41"/>
      <c r="Q10" s="72"/>
      <c r="R10" s="72"/>
      <c r="S10" s="68"/>
      <c r="T10" s="69"/>
      <c r="U10" s="71"/>
      <c r="V10" s="70"/>
      <c r="W10" s="18"/>
      <c r="Y10"/>
      <c r="Z10"/>
      <c r="AA10"/>
      <c r="AB10"/>
      <c r="AC10"/>
      <c r="AD10"/>
      <c r="AE10" s="39"/>
      <c r="AF10" s="36"/>
      <c r="AG10" s="34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39"/>
      <c r="AF11" s="36"/>
      <c r="AG11" s="34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8" t="s">
        <v>9</v>
      </c>
      <c r="J12" s="17">
        <v>283</v>
      </c>
      <c r="K12" s="17" t="s">
        <v>10</v>
      </c>
      <c r="L12" s="55">
        <v>0.43472222222222223</v>
      </c>
      <c r="M12" s="17" t="s">
        <v>81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39"/>
      <c r="AF12" s="17"/>
      <c r="AG12" s="25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I13" s="18"/>
      <c r="J13" s="17">
        <v>251</v>
      </c>
      <c r="K13" s="17" t="s">
        <v>10</v>
      </c>
      <c r="L13" s="55">
        <v>0.44791666666666669</v>
      </c>
      <c r="M13" s="18"/>
      <c r="N13" s="18"/>
      <c r="O13" s="18"/>
      <c r="R13"/>
      <c r="S13"/>
      <c r="T13"/>
      <c r="U13"/>
      <c r="V13"/>
      <c r="W13"/>
      <c r="X13"/>
      <c r="Y13"/>
      <c r="Z13"/>
      <c r="AA13"/>
      <c r="AB13"/>
      <c r="AC13"/>
      <c r="AD13"/>
      <c r="AE13" s="39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60</v>
      </c>
      <c r="I14" s="18"/>
      <c r="J14" s="17">
        <f>+J13</f>
        <v>251</v>
      </c>
      <c r="K14" s="17" t="s">
        <v>19</v>
      </c>
      <c r="L14" s="55">
        <v>0.44791666666666669</v>
      </c>
      <c r="M14" s="18"/>
      <c r="N14" s="18"/>
      <c r="O14" s="18"/>
      <c r="R14"/>
      <c r="S14"/>
      <c r="T14"/>
      <c r="U14"/>
      <c r="V14"/>
      <c r="W14"/>
      <c r="X14"/>
      <c r="Y14"/>
      <c r="Z14"/>
      <c r="AA14"/>
      <c r="AB14"/>
      <c r="AC14"/>
      <c r="AD14"/>
      <c r="AE14" s="39"/>
      <c r="AF14" s="18"/>
      <c r="AG14" s="18"/>
      <c r="AH14" s="18"/>
      <c r="AI14" s="18"/>
    </row>
    <row r="15" spans="1:44" x14ac:dyDescent="0.25">
      <c r="D15" s="19" t="s">
        <v>1</v>
      </c>
      <c r="E15" s="20">
        <v>55.36</v>
      </c>
      <c r="F15" s="13" t="s">
        <v>61</v>
      </c>
      <c r="I15" s="18"/>
      <c r="J15" s="17"/>
      <c r="K15" s="17"/>
      <c r="L15" s="17"/>
      <c r="M15" s="18"/>
      <c r="N15" s="18"/>
      <c r="O15" s="18"/>
      <c r="R15"/>
      <c r="S15"/>
      <c r="T15"/>
      <c r="U15"/>
      <c r="V15" s="45"/>
      <c r="W15" s="45"/>
      <c r="X15" s="45"/>
      <c r="Y15"/>
      <c r="Z15"/>
      <c r="AA15"/>
      <c r="AB15"/>
      <c r="AC15"/>
      <c r="AD15"/>
      <c r="AE15" s="40"/>
      <c r="AF15" s="40"/>
      <c r="AG15" s="40"/>
      <c r="AH15" s="40"/>
      <c r="AI15" s="18"/>
    </row>
    <row r="16" spans="1:44" x14ac:dyDescent="0.25">
      <c r="D16" s="19" t="s">
        <v>1</v>
      </c>
      <c r="E16" s="56">
        <f>+E15/6</f>
        <v>9.2266666666666666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7"/>
      <c r="Z16" s="10"/>
      <c r="AB16" s="46"/>
      <c r="AC16"/>
      <c r="AD16"/>
      <c r="AE16" s="86"/>
      <c r="AF16" s="40"/>
      <c r="AG16" s="40"/>
      <c r="AH16" s="40"/>
      <c r="AI16" s="18"/>
    </row>
    <row r="17" spans="1:35" x14ac:dyDescent="0.25">
      <c r="D17" s="19" t="s">
        <v>1</v>
      </c>
      <c r="E17" s="34">
        <f>+E16/J14*0.000001</f>
        <v>3.6759628154050458E-8</v>
      </c>
      <c r="F17" s="17" t="s">
        <v>11</v>
      </c>
      <c r="R17"/>
      <c r="S17"/>
      <c r="T17"/>
      <c r="U17" s="22"/>
      <c r="Y17" s="27"/>
      <c r="Z17" s="10"/>
      <c r="AA17" s="10"/>
      <c r="AB17" s="47"/>
      <c r="AC17"/>
      <c r="AD17"/>
      <c r="AE17" s="87"/>
      <c r="AF17" s="40"/>
      <c r="AG17" s="44"/>
      <c r="AH17" s="40"/>
      <c r="AI17" s="18"/>
    </row>
    <row r="18" spans="1:35" x14ac:dyDescent="0.25">
      <c r="R18"/>
      <c r="S18"/>
      <c r="T18"/>
      <c r="U18" s="22"/>
      <c r="Y18" s="27"/>
      <c r="Z18" s="10"/>
      <c r="AA18" s="10"/>
      <c r="AB18" s="47"/>
      <c r="AC18"/>
      <c r="AD18"/>
      <c r="AE18" s="87"/>
      <c r="AF18" s="40"/>
      <c r="AG18" s="40"/>
      <c r="AH18" s="40"/>
      <c r="AI18" s="18"/>
    </row>
    <row r="19" spans="1:35" x14ac:dyDescent="0.25">
      <c r="R19"/>
      <c r="S19" s="37"/>
      <c r="T19" s="48"/>
      <c r="U19" s="48"/>
      <c r="V19" s="37"/>
      <c r="W19" s="37"/>
      <c r="X19" s="49"/>
      <c r="Y19" s="27"/>
      <c r="Z19" s="10"/>
      <c r="AA19" s="50"/>
      <c r="AB19"/>
      <c r="AC19"/>
      <c r="AD19"/>
      <c r="AE19" s="40"/>
      <c r="AF19" s="40"/>
      <c r="AG19" s="40"/>
      <c r="AH19" s="40"/>
      <c r="AI19" s="18"/>
    </row>
    <row r="20" spans="1:35" x14ac:dyDescent="0.25">
      <c r="B20" s="13" t="s">
        <v>25</v>
      </c>
      <c r="C20" s="17" t="s">
        <v>62</v>
      </c>
      <c r="F20" s="13" t="s">
        <v>26</v>
      </c>
      <c r="H20" s="9">
        <v>1611206.58</v>
      </c>
      <c r="J20" s="13" t="s">
        <v>3</v>
      </c>
      <c r="K20" s="24">
        <f>AVERAGE(H20:H24)</f>
        <v>1656424.7333333334</v>
      </c>
      <c r="L20" s="13" t="s">
        <v>8</v>
      </c>
      <c r="M20" s="24">
        <f>STDEV(H20:H24)</f>
        <v>39703.091852892678</v>
      </c>
      <c r="N20" s="10">
        <f>+M20*100/K20</f>
        <v>2.3969149369676166</v>
      </c>
      <c r="O20" s="13" t="s">
        <v>4</v>
      </c>
      <c r="R20" s="48"/>
      <c r="S20" s="48"/>
      <c r="T20" s="37"/>
      <c r="U20" s="37"/>
      <c r="V20" s="49"/>
      <c r="W20" s="27"/>
      <c r="X20" s="10"/>
      <c r="Y20"/>
      <c r="Z20"/>
      <c r="AA20"/>
      <c r="AB20"/>
      <c r="AC20" s="40"/>
      <c r="AE20" s="40"/>
      <c r="AF20" s="40"/>
      <c r="AG20" s="40"/>
      <c r="AH20" s="40"/>
      <c r="AI20" s="18"/>
    </row>
    <row r="21" spans="1:35" x14ac:dyDescent="0.25">
      <c r="C21" s="19" t="s">
        <v>1</v>
      </c>
      <c r="D21" s="34">
        <f>+E17/1000*0.01</f>
        <v>3.6759628154050457E-13</v>
      </c>
      <c r="E21" s="13" t="s">
        <v>21</v>
      </c>
      <c r="H21" s="10">
        <v>1685577.85</v>
      </c>
      <c r="J21" s="10">
        <f>+K20</f>
        <v>1656424.7333333334</v>
      </c>
      <c r="K21" s="13" t="s">
        <v>5</v>
      </c>
      <c r="R21" s="48"/>
      <c r="S21" s="48"/>
      <c r="T21" s="37"/>
      <c r="U21" s="37"/>
      <c r="V21" s="49"/>
      <c r="W21" s="27"/>
      <c r="X21" s="10"/>
      <c r="Y21"/>
      <c r="Z21"/>
      <c r="AA21"/>
      <c r="AB21"/>
      <c r="AC21" s="40"/>
      <c r="AE21" s="40"/>
      <c r="AF21" s="40"/>
      <c r="AG21" s="40"/>
      <c r="AH21" s="40"/>
      <c r="AI21" s="18"/>
    </row>
    <row r="22" spans="1:35" x14ac:dyDescent="0.25">
      <c r="H22" s="10">
        <v>1672489.77</v>
      </c>
      <c r="J22" s="17">
        <f>+E16/100</f>
        <v>9.2266666666666663E-2</v>
      </c>
      <c r="K22" s="13" t="s">
        <v>20</v>
      </c>
      <c r="R22" s="48"/>
      <c r="S22" s="48"/>
      <c r="T22" s="37"/>
      <c r="U22" s="37"/>
      <c r="V22" s="49"/>
      <c r="W22" s="27"/>
      <c r="X22" s="10"/>
      <c r="Y22"/>
      <c r="Z22"/>
      <c r="AA22"/>
      <c r="AB22"/>
      <c r="AC22" s="40"/>
      <c r="AE22" s="40"/>
      <c r="AF22" s="40"/>
      <c r="AG22" s="40"/>
      <c r="AH22" s="40"/>
      <c r="AI22" s="18"/>
    </row>
    <row r="23" spans="1:35" x14ac:dyDescent="0.25">
      <c r="H23" s="10"/>
      <c r="R23" s="48"/>
      <c r="S23" s="22"/>
      <c r="T23" s="37"/>
      <c r="U23" s="37"/>
      <c r="V23" s="49"/>
      <c r="W23" s="27"/>
      <c r="X23" s="10"/>
      <c r="Y23"/>
      <c r="Z23"/>
      <c r="AA23"/>
      <c r="AB23"/>
      <c r="AC23" s="40"/>
      <c r="AE23" s="40"/>
      <c r="AF23" s="40"/>
      <c r="AG23" s="40"/>
      <c r="AH23" s="40"/>
      <c r="AI23" s="18"/>
    </row>
    <row r="24" spans="1:35" x14ac:dyDescent="0.25">
      <c r="H24" s="10"/>
      <c r="J24" s="19" t="s">
        <v>1</v>
      </c>
      <c r="K24" s="10">
        <f>+J21/J22</f>
        <v>17952580.202312142</v>
      </c>
      <c r="L24" s="13" t="s">
        <v>6</v>
      </c>
      <c r="R24" s="48"/>
      <c r="S24" s="22"/>
      <c r="T24" s="37"/>
      <c r="U24" s="37"/>
      <c r="V24" s="49"/>
      <c r="W24" s="27"/>
      <c r="X24" s="10"/>
      <c r="Y24"/>
      <c r="Z24"/>
      <c r="AA24"/>
      <c r="AB24"/>
      <c r="AC24" s="40"/>
      <c r="AE24" s="40"/>
      <c r="AF24" s="40"/>
      <c r="AG24" s="40"/>
      <c r="AH24" s="40"/>
      <c r="AI24" s="18"/>
    </row>
    <row r="25" spans="1:35" x14ac:dyDescent="0.25">
      <c r="H25" s="10"/>
      <c r="J25" s="19" t="s">
        <v>1</v>
      </c>
      <c r="K25" s="34">
        <f>+D21/J21</f>
        <v>2.2192151212374508E-19</v>
      </c>
      <c r="L25" s="13" t="s">
        <v>22</v>
      </c>
      <c r="R25" s="48"/>
      <c r="S25" s="22"/>
      <c r="T25" s="37"/>
      <c r="U25" s="37"/>
      <c r="V25" s="49"/>
      <c r="W25" s="27"/>
      <c r="X25" s="10"/>
      <c r="Y25"/>
      <c r="Z25"/>
      <c r="AA25"/>
      <c r="AB25"/>
      <c r="AC25" s="40"/>
      <c r="AE25" s="40"/>
      <c r="AF25" s="40"/>
      <c r="AG25" s="40"/>
      <c r="AH25" s="40"/>
      <c r="AI25" s="18"/>
    </row>
    <row r="26" spans="1:35" x14ac:dyDescent="0.25">
      <c r="R26" s="48"/>
      <c r="S26" s="48"/>
      <c r="T26" s="37"/>
      <c r="U26" s="37"/>
      <c r="V26" s="49"/>
      <c r="W26" s="27"/>
      <c r="X26" s="10"/>
      <c r="Y26"/>
      <c r="Z26"/>
      <c r="AA26"/>
      <c r="AB26"/>
      <c r="AC26" s="40"/>
      <c r="AE26" s="40"/>
      <c r="AF26" s="40"/>
      <c r="AG26" s="42"/>
      <c r="AH26" s="43"/>
      <c r="AI26" s="39"/>
    </row>
    <row r="27" spans="1:35" x14ac:dyDescent="0.25">
      <c r="R27" s="48"/>
      <c r="S27" s="48"/>
      <c r="T27" s="37"/>
      <c r="U27" s="37"/>
      <c r="V27" s="49"/>
      <c r="W27" s="27"/>
      <c r="X27" s="10"/>
      <c r="Y27"/>
      <c r="Z27"/>
      <c r="AA27"/>
      <c r="AB27"/>
      <c r="AC27" s="40"/>
      <c r="AE27" s="40"/>
      <c r="AF27" s="40"/>
      <c r="AG27" s="42"/>
      <c r="AH27" s="43"/>
      <c r="AI27" s="39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4">
        <v>0.01</v>
      </c>
      <c r="I28" s="17" t="s">
        <v>63</v>
      </c>
      <c r="J28" s="9"/>
      <c r="K28" s="34">
        <f>+H28*1.5/150</f>
        <v>9.9999999999999991E-5</v>
      </c>
      <c r="N28"/>
      <c r="O28"/>
      <c r="P28" s="74" t="s">
        <v>82</v>
      </c>
      <c r="Q28"/>
      <c r="R28" s="67" t="s">
        <v>45</v>
      </c>
      <c r="S28" s="67"/>
      <c r="T28" s="75" t="s">
        <v>3</v>
      </c>
      <c r="U28" s="75" t="s">
        <v>46</v>
      </c>
      <c r="V28" t="s">
        <v>47</v>
      </c>
      <c r="W28" s="51"/>
      <c r="X28"/>
      <c r="Y28"/>
      <c r="Z28"/>
      <c r="AA28"/>
      <c r="AB28"/>
      <c r="AC28" s="40"/>
      <c r="AE28" s="40"/>
      <c r="AF28" s="40"/>
      <c r="AG28" s="42"/>
      <c r="AH28" s="43"/>
      <c r="AI28" s="39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N29"/>
      <c r="O29"/>
      <c r="P29" s="74"/>
      <c r="Q29" s="74" t="s">
        <v>83</v>
      </c>
      <c r="R29" s="76">
        <v>0.97799999999999998</v>
      </c>
      <c r="S29" s="76">
        <v>1.0389999999999999</v>
      </c>
      <c r="T29" s="76">
        <f t="shared" ref="T29:T35" si="0">AVERAGE(R29:S29)</f>
        <v>1.0085</v>
      </c>
      <c r="U29" s="77">
        <f t="shared" ref="U29:U35" si="1">+(R29- 0.151288114200384)/0.000861118538007537</f>
        <v>960.04423236836658</v>
      </c>
      <c r="V29" s="78">
        <f>+U29*10</f>
        <v>9600.4423236836665</v>
      </c>
      <c r="W29" s="51"/>
      <c r="X29"/>
      <c r="Y29"/>
      <c r="Z29"/>
      <c r="AA29"/>
      <c r="AB29"/>
      <c r="AC29" s="40"/>
      <c r="AE29" s="40"/>
      <c r="AF29" s="40"/>
      <c r="AG29" s="42"/>
      <c r="AH29" s="43"/>
      <c r="AI29" s="39"/>
    </row>
    <row r="30" spans="1:35" x14ac:dyDescent="0.25">
      <c r="A30" s="14" t="s">
        <v>37</v>
      </c>
      <c r="B30" s="64">
        <v>0.01</v>
      </c>
      <c r="C30" s="65" t="s">
        <v>11</v>
      </c>
      <c r="D30" s="65" t="s">
        <v>38</v>
      </c>
      <c r="E30" s="17"/>
      <c r="F30" s="17"/>
      <c r="G30" s="17"/>
      <c r="H30" s="34">
        <f>+K28</f>
        <v>9.9999999999999991E-5</v>
      </c>
      <c r="I30" s="31" t="s">
        <v>64</v>
      </c>
      <c r="J30" s="9"/>
      <c r="K30" s="34">
        <f>+K28*120/1200</f>
        <v>9.9999999999999991E-6</v>
      </c>
      <c r="N30"/>
      <c r="O30" s="80"/>
      <c r="P30" s="80"/>
      <c r="Q30" s="81" t="s">
        <v>84</v>
      </c>
      <c r="R30" s="82">
        <v>0.94599999999999995</v>
      </c>
      <c r="S30" s="82">
        <v>1.1020000000000001</v>
      </c>
      <c r="T30" s="82">
        <f t="shared" si="0"/>
        <v>1.024</v>
      </c>
      <c r="U30" s="83">
        <f t="shared" si="1"/>
        <v>922.88326255108473</v>
      </c>
      <c r="V30" s="83">
        <f t="shared" ref="V30:V32" si="2">+U30*10</f>
        <v>9228.8326255108477</v>
      </c>
      <c r="W30" s="40"/>
      <c r="X30" s="40"/>
      <c r="Y30" s="42"/>
      <c r="Z30" s="43"/>
      <c r="AA30" s="40"/>
      <c r="AB30" s="41"/>
      <c r="AC30" s="40"/>
      <c r="AE30" s="40"/>
      <c r="AF30" s="40"/>
      <c r="AG30" s="42"/>
      <c r="AH30" s="43"/>
      <c r="AI30" s="39"/>
    </row>
    <row r="31" spans="1:35" x14ac:dyDescent="0.25">
      <c r="E31" s="18"/>
      <c r="F31" s="18"/>
      <c r="G31" s="18"/>
      <c r="H31" s="34">
        <f>+K30</f>
        <v>9.9999999999999991E-6</v>
      </c>
      <c r="I31" s="31" t="s">
        <v>65</v>
      </c>
      <c r="J31" s="17"/>
      <c r="K31" s="34">
        <f>+K30*0.1</f>
        <v>9.9999999999999995E-7</v>
      </c>
      <c r="N31"/>
      <c r="O31" s="80"/>
      <c r="P31" s="80"/>
      <c r="Q31" s="81" t="s">
        <v>85</v>
      </c>
      <c r="R31" s="82">
        <v>0.55100000000000005</v>
      </c>
      <c r="S31" s="82">
        <v>0.61699999999999999</v>
      </c>
      <c r="T31" s="82">
        <f t="shared" si="0"/>
        <v>0.58400000000000007</v>
      </c>
      <c r="U31" s="83">
        <f t="shared" si="1"/>
        <v>464.17754136901129</v>
      </c>
      <c r="V31" s="83">
        <f t="shared" si="2"/>
        <v>4641.7754136901131</v>
      </c>
      <c r="W31" s="40"/>
      <c r="X31" s="40"/>
      <c r="Y31" s="42"/>
      <c r="Z31" s="43"/>
      <c r="AA31" s="40"/>
      <c r="AB31" s="41"/>
      <c r="AC31" s="40"/>
      <c r="AE31" s="40"/>
      <c r="AF31" s="40"/>
      <c r="AG31" s="42"/>
      <c r="AH31" s="43"/>
      <c r="AI31" s="39"/>
    </row>
    <row r="32" spans="1:35" x14ac:dyDescent="0.25">
      <c r="H32" s="34">
        <f>+K31</f>
        <v>9.9999999999999995E-7</v>
      </c>
      <c r="I32" s="31" t="s">
        <v>65</v>
      </c>
      <c r="J32" s="17"/>
      <c r="K32" s="34">
        <f>+K31*0.1</f>
        <v>9.9999999999999995E-8</v>
      </c>
      <c r="N32"/>
      <c r="O32"/>
      <c r="P32"/>
      <c r="Q32" s="74" t="s">
        <v>86</v>
      </c>
      <c r="R32" s="76">
        <v>0.54700000000000004</v>
      </c>
      <c r="S32" s="76">
        <v>0.58899999999999997</v>
      </c>
      <c r="T32" s="76">
        <f t="shared" si="0"/>
        <v>0.56800000000000006</v>
      </c>
      <c r="U32" s="77">
        <f t="shared" si="1"/>
        <v>459.53242014185105</v>
      </c>
      <c r="V32" s="78">
        <f t="shared" si="2"/>
        <v>4595.3242014185107</v>
      </c>
      <c r="W32" s="40"/>
      <c r="X32" s="40"/>
      <c r="Y32" s="42"/>
      <c r="Z32" s="43"/>
      <c r="AA32" s="40"/>
      <c r="AB32" s="41"/>
      <c r="AC32" s="40"/>
      <c r="AE32" s="40"/>
      <c r="AF32" s="40"/>
      <c r="AG32" s="42"/>
      <c r="AH32" s="43"/>
      <c r="AI32" s="39"/>
    </row>
    <row r="33" spans="1:35" x14ac:dyDescent="0.25">
      <c r="E33" s="25"/>
      <c r="H33" s="34">
        <f>+K32</f>
        <v>9.9999999999999995E-8</v>
      </c>
      <c r="I33" s="31" t="s">
        <v>65</v>
      </c>
      <c r="J33" s="17"/>
      <c r="K33" s="34">
        <f>+K32*0.1</f>
        <v>1E-8</v>
      </c>
      <c r="N33"/>
      <c r="O33"/>
      <c r="P33"/>
      <c r="Q33" s="74" t="s">
        <v>87</v>
      </c>
      <c r="R33" s="76">
        <v>0.50700000000000001</v>
      </c>
      <c r="S33" s="76">
        <v>0.55000000000000004</v>
      </c>
      <c r="T33" s="76">
        <f t="shared" si="0"/>
        <v>0.52849999999999997</v>
      </c>
      <c r="U33" s="79">
        <f t="shared" si="1"/>
        <v>413.08120787024865</v>
      </c>
      <c r="V33" s="78"/>
      <c r="W33" s="40"/>
      <c r="X33" s="40"/>
      <c r="Y33" s="42"/>
      <c r="Z33" s="43"/>
      <c r="AA33" s="40"/>
      <c r="AB33" s="41"/>
      <c r="AC33" s="40"/>
      <c r="AE33" s="40"/>
      <c r="AF33" s="40"/>
      <c r="AG33" s="42"/>
      <c r="AH33" s="43"/>
      <c r="AI33" s="39"/>
    </row>
    <row r="34" spans="1:35" x14ac:dyDescent="0.25">
      <c r="A34" s="14"/>
      <c r="B34" s="11"/>
      <c r="H34" s="34">
        <f>+K33</f>
        <v>1E-8</v>
      </c>
      <c r="I34" s="31" t="s">
        <v>65</v>
      </c>
      <c r="J34" s="17"/>
      <c r="K34" s="34">
        <f>+K33*0.1</f>
        <v>1.0000000000000001E-9</v>
      </c>
      <c r="L34" s="18"/>
      <c r="N34"/>
      <c r="O34"/>
      <c r="P34"/>
      <c r="Q34" s="74" t="s">
        <v>88</v>
      </c>
      <c r="R34" s="76">
        <v>0.374</v>
      </c>
      <c r="S34" s="76">
        <v>0.38600000000000001</v>
      </c>
      <c r="T34" s="76">
        <f t="shared" si="0"/>
        <v>0.38</v>
      </c>
      <c r="U34" s="79">
        <f t="shared" si="1"/>
        <v>258.63092706717077</v>
      </c>
      <c r="V34" s="78"/>
      <c r="W34" s="40"/>
      <c r="X34" s="40"/>
      <c r="Y34" s="40"/>
      <c r="Z34" s="42"/>
      <c r="AA34" s="43"/>
      <c r="AB34" s="40"/>
      <c r="AC34" s="41"/>
      <c r="AD34" s="40"/>
      <c r="AE34" s="40"/>
      <c r="AF34" s="40"/>
      <c r="AG34" s="42"/>
      <c r="AH34" s="43"/>
      <c r="AI34" s="39"/>
    </row>
    <row r="35" spans="1:35" x14ac:dyDescent="0.25">
      <c r="L35" s="18"/>
      <c r="N35"/>
      <c r="O35"/>
      <c r="P35"/>
      <c r="Q35" s="74" t="s">
        <v>89</v>
      </c>
      <c r="R35" s="76">
        <v>0.51800000000000002</v>
      </c>
      <c r="S35" s="76">
        <v>0.57499999999999996</v>
      </c>
      <c r="T35" s="76">
        <f t="shared" si="0"/>
        <v>0.54649999999999999</v>
      </c>
      <c r="U35" s="79">
        <f t="shared" si="1"/>
        <v>425.85529124493934</v>
      </c>
      <c r="V35" s="78"/>
      <c r="W35" s="40"/>
      <c r="X35" s="40"/>
      <c r="Y35" s="40"/>
      <c r="Z35" s="42"/>
      <c r="AA35" s="43"/>
      <c r="AB35" s="40"/>
      <c r="AC35" s="41"/>
      <c r="AD35" s="40"/>
      <c r="AE35" s="40"/>
      <c r="AF35" s="40"/>
      <c r="AG35" s="42"/>
      <c r="AH35" s="43"/>
      <c r="AI35" s="39"/>
    </row>
    <row r="36" spans="1:35" x14ac:dyDescent="0.25">
      <c r="S36" s="40"/>
      <c r="T36" s="40"/>
      <c r="U36" s="40"/>
      <c r="V36" s="41"/>
      <c r="W36" s="40"/>
      <c r="X36" s="40"/>
      <c r="Y36" s="40"/>
      <c r="Z36" s="42"/>
      <c r="AA36" s="43"/>
      <c r="AB36" s="40"/>
      <c r="AC36" s="41"/>
      <c r="AD36" s="40"/>
      <c r="AE36" s="40"/>
      <c r="AF36" s="40"/>
      <c r="AG36" s="42"/>
      <c r="AH36" s="43"/>
      <c r="AI36" s="39"/>
    </row>
    <row r="37" spans="1:35" x14ac:dyDescent="0.25">
      <c r="A37" s="14" t="s">
        <v>71</v>
      </c>
      <c r="B37" s="13">
        <v>800</v>
      </c>
      <c r="C37" s="13" t="s">
        <v>2</v>
      </c>
      <c r="D37" s="17" t="s">
        <v>66</v>
      </c>
      <c r="N37" s="13" t="s">
        <v>49</v>
      </c>
      <c r="S37" s="40"/>
      <c r="T37" s="40"/>
      <c r="U37" s="40"/>
      <c r="V37" s="41"/>
      <c r="W37" s="40"/>
      <c r="X37" s="40"/>
      <c r="Y37" s="40"/>
      <c r="Z37" s="42"/>
      <c r="AA37" s="43"/>
      <c r="AB37" s="40"/>
      <c r="AC37" s="41"/>
      <c r="AD37" s="40"/>
      <c r="AE37" s="40"/>
      <c r="AF37" s="40"/>
      <c r="AG37" s="42"/>
      <c r="AH37" s="43"/>
      <c r="AI37" s="39"/>
    </row>
    <row r="38" spans="1:35" x14ac:dyDescent="0.25">
      <c r="B38" s="19" t="s">
        <v>42</v>
      </c>
      <c r="C38" s="13" t="s">
        <v>2</v>
      </c>
      <c r="D38" s="13" t="s">
        <v>67</v>
      </c>
      <c r="H38" s="34">
        <f>100*E17/1000</f>
        <v>3.6759628154050456E-9</v>
      </c>
      <c r="I38" s="10" t="s">
        <v>11</v>
      </c>
      <c r="J38" s="13" t="s">
        <v>34</v>
      </c>
      <c r="M38" s="13" t="s">
        <v>72</v>
      </c>
      <c r="N38" s="9">
        <f>+U33*0.8</f>
        <v>330.46496629619895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18"/>
    </row>
    <row r="39" spans="1:35" x14ac:dyDescent="0.25">
      <c r="B39" s="19" t="s">
        <v>42</v>
      </c>
      <c r="C39" s="13" t="s">
        <v>2</v>
      </c>
      <c r="D39" s="13" t="s">
        <v>43</v>
      </c>
      <c r="I39" s="10"/>
      <c r="M39" s="13" t="s">
        <v>77</v>
      </c>
      <c r="N39" s="9">
        <f>+U34*0.8</f>
        <v>206.90474165373664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18"/>
    </row>
    <row r="40" spans="1:35" x14ac:dyDescent="0.25">
      <c r="M40" s="13" t="s">
        <v>78</v>
      </c>
      <c r="N40" s="9">
        <f>+U35*0.8</f>
        <v>340.6842329959515</v>
      </c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5" x14ac:dyDescent="0.25">
      <c r="B41" s="13" t="s">
        <v>68</v>
      </c>
      <c r="N41" s="2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13" t="s">
        <v>39</v>
      </c>
      <c r="S43"/>
      <c r="T43"/>
      <c r="U43"/>
      <c r="AC43"/>
      <c r="AD43"/>
      <c r="AE43"/>
      <c r="AF43"/>
    </row>
    <row r="44" spans="1:35" x14ac:dyDescent="0.25">
      <c r="B44" s="13" t="s">
        <v>69</v>
      </c>
      <c r="S44"/>
      <c r="T44"/>
      <c r="U44"/>
      <c r="AC44"/>
      <c r="AD44"/>
      <c r="AE44"/>
      <c r="AF44"/>
    </row>
    <row r="45" spans="1:35" x14ac:dyDescent="0.25">
      <c r="C45" s="66"/>
      <c r="S45"/>
      <c r="T45"/>
      <c r="U45"/>
      <c r="AC45"/>
      <c r="AD45"/>
      <c r="AE45"/>
      <c r="AF45"/>
    </row>
    <row r="46" spans="1:35" x14ac:dyDescent="0.25">
      <c r="B46" s="13" t="s">
        <v>70</v>
      </c>
      <c r="F46" s="22" t="s">
        <v>74</v>
      </c>
      <c r="G46" s="13" t="s">
        <v>75</v>
      </c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B48" s="13" t="s">
        <v>50</v>
      </c>
      <c r="M48" s="13" t="s">
        <v>51</v>
      </c>
      <c r="S48"/>
      <c r="U48"/>
      <c r="AC48"/>
      <c r="AD48"/>
      <c r="AE48"/>
      <c r="AF48"/>
    </row>
    <row r="49" spans="1:43" x14ac:dyDescent="0.25">
      <c r="E49" s="13" t="s">
        <v>5</v>
      </c>
      <c r="H49" s="13" t="s">
        <v>3</v>
      </c>
      <c r="I49" s="13" t="s">
        <v>41</v>
      </c>
      <c r="J49" s="13" t="s">
        <v>76</v>
      </c>
      <c r="S49"/>
      <c r="T49"/>
      <c r="U49"/>
      <c r="AC49"/>
      <c r="AD49"/>
      <c r="AE49"/>
      <c r="AF49"/>
    </row>
    <row r="50" spans="1:43" x14ac:dyDescent="0.25">
      <c r="A50" s="13" t="s">
        <v>44</v>
      </c>
      <c r="B50" s="13" t="s">
        <v>72</v>
      </c>
      <c r="M50" s="13" t="s">
        <v>52</v>
      </c>
      <c r="S50" s="13" t="s">
        <v>80</v>
      </c>
    </row>
    <row r="51" spans="1:43" x14ac:dyDescent="0.25">
      <c r="C51" s="27" t="s">
        <v>7</v>
      </c>
      <c r="E51" s="10">
        <v>725659.86</v>
      </c>
      <c r="F51" s="10">
        <v>752517.15</v>
      </c>
      <c r="G51" s="10">
        <v>764916.56</v>
      </c>
      <c r="H51" s="10">
        <f>AVERAGE(E51:G51)</f>
        <v>747697.8566666668</v>
      </c>
      <c r="I51" s="9">
        <f t="shared" ref="I51:I57" si="3">+H51*100/$H$51</f>
        <v>100.00000000000001</v>
      </c>
      <c r="J51" s="10">
        <f>+H51*100/16564250</f>
        <v>4.5139252104180203</v>
      </c>
      <c r="O51" s="13" t="s">
        <v>72</v>
      </c>
      <c r="P51" s="13" t="s">
        <v>77</v>
      </c>
      <c r="Q51" s="13" t="s">
        <v>78</v>
      </c>
      <c r="S51" s="13" t="s">
        <v>72</v>
      </c>
      <c r="T51" s="13" t="s">
        <v>77</v>
      </c>
      <c r="U51" s="13" t="s">
        <v>78</v>
      </c>
    </row>
    <row r="52" spans="1:43" x14ac:dyDescent="0.25">
      <c r="C52" s="27" t="s">
        <v>40</v>
      </c>
      <c r="D52" s="11">
        <v>9.9999999999999995E-7</v>
      </c>
      <c r="E52" s="10">
        <v>176159.17</v>
      </c>
      <c r="F52" s="10">
        <v>162743.79</v>
      </c>
      <c r="G52" s="10">
        <v>185268.21</v>
      </c>
      <c r="H52" s="10">
        <f t="shared" ref="H52:H57" si="4">AVERAGE(E52:G52)</f>
        <v>174723.72333333336</v>
      </c>
      <c r="I52" s="9">
        <f t="shared" si="3"/>
        <v>23.368225784713921</v>
      </c>
      <c r="J52" s="10">
        <f t="shared" ref="J52:J57" si="5">+H52*100/16564250</f>
        <v>1.0548242349236057</v>
      </c>
      <c r="M52" s="13" t="s">
        <v>53</v>
      </c>
      <c r="N52" s="16" t="s">
        <v>79</v>
      </c>
      <c r="O52" s="10">
        <f>+H51-$H$52</f>
        <v>572974.13333333342</v>
      </c>
      <c r="P52" s="10">
        <f>+H62-$H$63</f>
        <v>252239.11</v>
      </c>
      <c r="Q52" s="10">
        <f>+H73-$H$74</f>
        <v>707997.45666666655</v>
      </c>
      <c r="R52" s="10"/>
      <c r="S52" s="28">
        <f>+O52*100/$O$52</f>
        <v>100</v>
      </c>
      <c r="T52" s="28">
        <f>+P52*100/$P$52</f>
        <v>100</v>
      </c>
      <c r="U52" s="28">
        <f>+Q52*100/$Q$52</f>
        <v>100</v>
      </c>
    </row>
    <row r="53" spans="1:43" x14ac:dyDescent="0.25">
      <c r="C53" s="27" t="s">
        <v>37</v>
      </c>
      <c r="D53" s="11">
        <v>9.9999999999999995E-7</v>
      </c>
      <c r="E53" s="9">
        <v>204779.56</v>
      </c>
      <c r="F53" s="9" t="s">
        <v>73</v>
      </c>
      <c r="H53" s="10">
        <f t="shared" si="4"/>
        <v>204779.56</v>
      </c>
      <c r="I53" s="9">
        <f t="shared" si="3"/>
        <v>27.388009497972028</v>
      </c>
      <c r="J53" s="10">
        <f t="shared" si="5"/>
        <v>1.2362742653606411</v>
      </c>
      <c r="M53" s="16" t="s">
        <v>57</v>
      </c>
      <c r="N53" s="11">
        <v>9.9999999999999995E-7</v>
      </c>
      <c r="O53" s="10">
        <f>+H53-$H$52</f>
        <v>30055.836666666641</v>
      </c>
      <c r="P53" s="10">
        <f>+H64-$H$63</f>
        <v>9106.8366666666552</v>
      </c>
      <c r="Q53" s="10"/>
      <c r="R53" s="10"/>
      <c r="S53" s="28">
        <f t="shared" ref="S53:S57" si="6">+O53*100/$O$52</f>
        <v>5.2455835120887313</v>
      </c>
      <c r="T53" s="28">
        <f t="shared" ref="T53:T57" si="7">+P53*100/$P$52</f>
        <v>3.6103983504646271</v>
      </c>
      <c r="U53" s="28"/>
      <c r="V53" s="11"/>
    </row>
    <row r="54" spans="1:43" x14ac:dyDescent="0.25">
      <c r="C54" s="27"/>
      <c r="D54" s="11">
        <v>9.9999999999999995E-8</v>
      </c>
      <c r="E54" s="9">
        <v>247185.42</v>
      </c>
      <c r="F54" s="9">
        <v>281279.98</v>
      </c>
      <c r="H54" s="10">
        <f t="shared" si="4"/>
        <v>264232.7</v>
      </c>
      <c r="I54" s="9">
        <f t="shared" si="3"/>
        <v>35.339502132316305</v>
      </c>
      <c r="J54" s="10">
        <f t="shared" si="5"/>
        <v>1.5951986959868392</v>
      </c>
      <c r="N54" s="11">
        <v>9.9999999999999995E-8</v>
      </c>
      <c r="O54" s="10">
        <f t="shared" ref="O54:O57" si="8">+H54-$H$52</f>
        <v>89508.976666666655</v>
      </c>
      <c r="P54" s="10">
        <f t="shared" ref="P54:P57" si="9">+H65-$H$63</f>
        <v>53566.746666666659</v>
      </c>
      <c r="Q54" s="10">
        <f t="shared" ref="Q54:Q57" si="10">+H76-$H$74</f>
        <v>63225.650000000023</v>
      </c>
      <c r="R54" s="10"/>
      <c r="S54" s="28">
        <f t="shared" si="6"/>
        <v>15.621818064620017</v>
      </c>
      <c r="T54" s="28">
        <f t="shared" si="7"/>
        <v>21.23649527096201</v>
      </c>
      <c r="U54" s="28">
        <f t="shared" ref="U53:U57" si="11">+Q54*100/$Q$52</f>
        <v>8.9302086334707536</v>
      </c>
      <c r="V54" s="11"/>
    </row>
    <row r="55" spans="1:43" x14ac:dyDescent="0.25">
      <c r="C55" s="27"/>
      <c r="D55" s="11">
        <v>1E-8</v>
      </c>
      <c r="E55" s="9">
        <v>703434.81</v>
      </c>
      <c r="F55" s="9">
        <v>681697.82</v>
      </c>
      <c r="H55" s="10">
        <f t="shared" si="4"/>
        <v>692566.31499999994</v>
      </c>
      <c r="I55" s="9">
        <f t="shared" si="3"/>
        <v>92.626494622781138</v>
      </c>
      <c r="J55" s="10">
        <f t="shared" si="5"/>
        <v>4.1810906923042097</v>
      </c>
      <c r="N55" s="11">
        <v>1E-8</v>
      </c>
      <c r="O55" s="10">
        <f t="shared" si="8"/>
        <v>517842.59166666656</v>
      </c>
      <c r="P55" s="10">
        <f t="shared" si="9"/>
        <v>243774.07666666666</v>
      </c>
      <c r="Q55" s="10">
        <f t="shared" si="10"/>
        <v>492949.58999999997</v>
      </c>
      <c r="R55" s="10"/>
      <c r="S55" s="28">
        <f t="shared" si="6"/>
        <v>90.378005138568184</v>
      </c>
      <c r="T55" s="28">
        <f t="shared" si="7"/>
        <v>96.644044084466785</v>
      </c>
      <c r="U55" s="28">
        <f t="shared" si="11"/>
        <v>69.625898420717974</v>
      </c>
      <c r="V55" s="11"/>
    </row>
    <row r="56" spans="1:43" x14ac:dyDescent="0.25">
      <c r="D56" s="11">
        <v>1.0000000000000001E-9</v>
      </c>
      <c r="E56" s="9">
        <v>817382.88</v>
      </c>
      <c r="F56" s="9">
        <v>754485.23</v>
      </c>
      <c r="H56" s="10">
        <f t="shared" si="4"/>
        <v>785934.05499999993</v>
      </c>
      <c r="I56" s="9">
        <f t="shared" si="3"/>
        <v>105.11385688649625</v>
      </c>
      <c r="J56" s="10">
        <f t="shared" si="5"/>
        <v>4.7447608856422718</v>
      </c>
      <c r="N56" s="11">
        <v>1.0000000000000001E-9</v>
      </c>
      <c r="O56" s="10">
        <f t="shared" si="8"/>
        <v>611210.33166666655</v>
      </c>
      <c r="P56" s="10">
        <f t="shared" si="9"/>
        <v>245102.72166666662</v>
      </c>
      <c r="Q56" s="10">
        <f t="shared" si="10"/>
        <v>674751.04500000004</v>
      </c>
      <c r="R56" s="10"/>
      <c r="S56" s="28">
        <f t="shared" si="6"/>
        <v>106.67328525127134</v>
      </c>
      <c r="T56" s="28">
        <f t="shared" si="7"/>
        <v>97.170784366733059</v>
      </c>
      <c r="U56" s="28">
        <f t="shared" si="11"/>
        <v>95.304162274368267</v>
      </c>
      <c r="V56" s="11"/>
    </row>
    <row r="57" spans="1:43" x14ac:dyDescent="0.25">
      <c r="C57" s="27"/>
      <c r="D57" s="11">
        <v>1E-10</v>
      </c>
      <c r="E57" s="9">
        <v>736171.13</v>
      </c>
      <c r="F57" s="9">
        <v>656092.16000000003</v>
      </c>
      <c r="G57" s="10"/>
      <c r="H57" s="10">
        <f t="shared" si="4"/>
        <v>696131.64500000002</v>
      </c>
      <c r="I57" s="9">
        <f t="shared" si="3"/>
        <v>93.103335631246068</v>
      </c>
      <c r="J57" s="10">
        <f t="shared" si="5"/>
        <v>4.2026149387989191</v>
      </c>
      <c r="N57" s="11">
        <v>1E-10</v>
      </c>
      <c r="O57" s="10">
        <f t="shared" si="8"/>
        <v>521407.92166666663</v>
      </c>
      <c r="P57" s="10">
        <f t="shared" si="9"/>
        <v>151142.55666666664</v>
      </c>
      <c r="Q57" s="10">
        <f t="shared" si="10"/>
        <v>658958.92000000004</v>
      </c>
      <c r="R57" s="10"/>
      <c r="S57" s="28">
        <f t="shared" si="6"/>
        <v>91.00025486898069</v>
      </c>
      <c r="T57" s="28">
        <f t="shared" si="7"/>
        <v>59.920349650245221</v>
      </c>
      <c r="U57" s="28">
        <f t="shared" si="11"/>
        <v>93.073628131724433</v>
      </c>
    </row>
    <row r="58" spans="1:43" x14ac:dyDescent="0.25">
      <c r="C58" s="27"/>
      <c r="D58" s="58"/>
      <c r="E58" s="9"/>
      <c r="F58" s="9"/>
      <c r="G58" s="10"/>
      <c r="H58" s="9"/>
      <c r="I58" s="27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1:43" x14ac:dyDescent="0.25">
      <c r="C59" s="27"/>
      <c r="D59" s="58"/>
      <c r="E59" s="9"/>
      <c r="F59" s="9"/>
      <c r="G59" s="10"/>
      <c r="H59" s="9"/>
      <c r="I59" s="27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1:43" x14ac:dyDescent="0.25">
      <c r="B60" s="17"/>
      <c r="C60" s="17"/>
      <c r="D60" s="17"/>
      <c r="E60" s="17" t="s">
        <v>5</v>
      </c>
      <c r="F60" s="17"/>
      <c r="H60" s="17" t="s">
        <v>3</v>
      </c>
      <c r="I60" s="17" t="s">
        <v>41</v>
      </c>
      <c r="J60" s="27"/>
      <c r="K60" s="26"/>
      <c r="L60" s="21"/>
      <c r="M60" s="17" t="s">
        <v>55</v>
      </c>
      <c r="N60" s="18"/>
      <c r="O60" s="18"/>
      <c r="P60" s="18"/>
      <c r="Q60" s="18"/>
      <c r="R60" s="18"/>
      <c r="S60" t="s">
        <v>94</v>
      </c>
      <c r="T60"/>
      <c r="U60"/>
      <c r="V60"/>
      <c r="W60"/>
      <c r="X60" s="39"/>
      <c r="Y60" s="39"/>
      <c r="Z60"/>
      <c r="AA60"/>
      <c r="AB60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5"/>
      <c r="AN60" s="18"/>
      <c r="AO60" s="18"/>
      <c r="AP60" s="18"/>
      <c r="AQ60" s="18"/>
    </row>
    <row r="61" spans="1:43" x14ac:dyDescent="0.25">
      <c r="B61" s="17" t="s">
        <v>77</v>
      </c>
      <c r="C61" s="17"/>
      <c r="D61" s="17"/>
      <c r="E61" s="17"/>
      <c r="F61" s="17"/>
      <c r="H61" s="17"/>
      <c r="I61" s="17"/>
      <c r="J61" s="27"/>
      <c r="K61" s="10"/>
      <c r="L61" s="28"/>
      <c r="M61" s="18"/>
      <c r="N61" s="18"/>
      <c r="O61" s="18"/>
      <c r="P61" s="29"/>
      <c r="Q61" s="29"/>
      <c r="R61" s="18"/>
      <c r="S61"/>
      <c r="T61"/>
      <c r="U61"/>
      <c r="V61"/>
      <c r="W61"/>
      <c r="X61"/>
      <c r="Y61" s="39"/>
      <c r="Z61" t="s">
        <v>95</v>
      </c>
      <c r="AA61" s="92"/>
      <c r="AB61" s="92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x14ac:dyDescent="0.25">
      <c r="B62" s="17"/>
      <c r="C62" s="54" t="s">
        <v>7</v>
      </c>
      <c r="D62" s="17"/>
      <c r="E62" s="9">
        <v>312346.73</v>
      </c>
      <c r="F62" s="9">
        <v>354017.88</v>
      </c>
      <c r="G62" s="9">
        <v>407016.62</v>
      </c>
      <c r="H62" s="9">
        <f>AVERAGE(E62:G62)</f>
        <v>357793.74333333335</v>
      </c>
      <c r="I62" s="9">
        <f>+H62*100/$H$62</f>
        <v>100</v>
      </c>
      <c r="J62" s="10">
        <f>+H62*100/16564250</f>
        <v>2.1600358804855841</v>
      </c>
      <c r="K62" s="10"/>
      <c r="L62" s="28"/>
      <c r="M62" s="18"/>
      <c r="N62" s="18"/>
      <c r="O62" s="13" t="s">
        <v>72</v>
      </c>
      <c r="P62" s="13" t="s">
        <v>77</v>
      </c>
      <c r="Q62" s="13" t="s">
        <v>78</v>
      </c>
      <c r="R62" s="18"/>
      <c r="S62"/>
      <c r="T62"/>
      <c r="U62"/>
      <c r="V62" t="s">
        <v>96</v>
      </c>
      <c r="W62" s="39"/>
      <c r="X62" t="s">
        <v>97</v>
      </c>
      <c r="Y62" s="39"/>
      <c r="Z62" t="s">
        <v>72</v>
      </c>
      <c r="AA62" t="s">
        <v>77</v>
      </c>
      <c r="AB62" t="s">
        <v>78</v>
      </c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x14ac:dyDescent="0.25">
      <c r="B63" s="17"/>
      <c r="C63" s="54" t="s">
        <v>40</v>
      </c>
      <c r="D63" s="34">
        <v>9.9999999999999995E-7</v>
      </c>
      <c r="E63" s="9">
        <v>107711.65</v>
      </c>
      <c r="F63" s="9">
        <v>105688.44</v>
      </c>
      <c r="G63" s="9">
        <v>103263.81</v>
      </c>
      <c r="H63" s="9">
        <f t="shared" ref="H63:H68" si="12">AVERAGE(E63:G63)</f>
        <v>105554.63333333335</v>
      </c>
      <c r="I63" s="9">
        <f t="shared" ref="I63:I68" si="13">+H63*100/$H$62</f>
        <v>29.501531343155683</v>
      </c>
      <c r="J63" s="10">
        <f t="shared" ref="J63:J68" si="14">+H63*100/16564250</f>
        <v>0.6372436623048634</v>
      </c>
      <c r="K63" s="10"/>
      <c r="L63" s="28"/>
      <c r="M63" s="17" t="s">
        <v>53</v>
      </c>
      <c r="N63" s="31" t="s">
        <v>54</v>
      </c>
      <c r="O63" s="84">
        <f>+O52/$N$38</f>
        <v>1733.8422882011982</v>
      </c>
      <c r="P63" s="84">
        <f>+P52/$N$39</f>
        <v>1219.1074403801351</v>
      </c>
      <c r="Q63" s="84">
        <f>+Q52/$N$40</f>
        <v>2078.163261154149</v>
      </c>
      <c r="R63" s="29"/>
      <c r="S63"/>
      <c r="T63"/>
      <c r="U63" t="s">
        <v>58</v>
      </c>
      <c r="V63" s="93">
        <f>+H38*1000000000</f>
        <v>3.6759628154050454</v>
      </c>
      <c r="W63" s="39"/>
      <c r="X63" s="94">
        <f>+V63/$V$63</f>
        <v>1</v>
      </c>
      <c r="Y63" s="39"/>
      <c r="Z63" s="78">
        <f>+O63*$X$63</f>
        <v>1733.8422882011982</v>
      </c>
      <c r="AA63" s="78">
        <f t="shared" ref="AA63:AB63" si="15">+P63*$X$63</f>
        <v>1219.1074403801351</v>
      </c>
      <c r="AB63" s="78">
        <f t="shared" si="15"/>
        <v>2078.163261154149</v>
      </c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x14ac:dyDescent="0.25">
      <c r="B64" s="17"/>
      <c r="C64" s="54" t="s">
        <v>37</v>
      </c>
      <c r="D64" s="34">
        <v>9.9999999999999995E-7</v>
      </c>
      <c r="E64" s="9">
        <v>117458.04</v>
      </c>
      <c r="F64" s="9">
        <v>111864.9</v>
      </c>
      <c r="H64" s="9">
        <f t="shared" si="12"/>
        <v>114661.47</v>
      </c>
      <c r="I64" s="9">
        <f t="shared" si="13"/>
        <v>32.046806892645215</v>
      </c>
      <c r="J64" s="10">
        <f t="shared" si="14"/>
        <v>0.69222252743106394</v>
      </c>
      <c r="K64" s="10"/>
      <c r="L64" s="28"/>
      <c r="M64" s="31" t="s">
        <v>57</v>
      </c>
      <c r="N64" s="34">
        <v>9.9999999999999995E-7</v>
      </c>
      <c r="O64" s="84">
        <f t="shared" ref="O64:O68" si="16">+O53/$N$38</f>
        <v>90.950145195504035</v>
      </c>
      <c r="P64" s="84">
        <f t="shared" ref="P64:P68" si="17">+P53/$N$39</f>
        <v>44.014634917875931</v>
      </c>
      <c r="Q64" s="84"/>
      <c r="R64" s="29"/>
      <c r="S64"/>
      <c r="T64"/>
      <c r="U64" s="92">
        <v>9.9999999999999995E-7</v>
      </c>
      <c r="V64" s="93">
        <f>+(U64+$H$38)*1000000000</f>
        <v>1003.675962815405</v>
      </c>
      <c r="W64" s="39"/>
      <c r="X64" s="94">
        <f>+V64/$V$63</f>
        <v>273.03757225433532</v>
      </c>
      <c r="Y64" s="39"/>
      <c r="Z64" s="78">
        <f>+O64*$X$64</f>
        <v>24832.806840359721</v>
      </c>
      <c r="AA64" s="78">
        <f t="shared" ref="AA64:AB64" si="18">+P64*$X$64</f>
        <v>12017.64906163774</v>
      </c>
      <c r="AB64" s="78"/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7"/>
      <c r="C65" s="54"/>
      <c r="D65" s="34">
        <v>9.9999999999999995E-8</v>
      </c>
      <c r="E65" s="9">
        <v>177607.7</v>
      </c>
      <c r="F65" s="9">
        <v>140635.06</v>
      </c>
      <c r="H65" s="9">
        <f t="shared" si="12"/>
        <v>159121.38</v>
      </c>
      <c r="I65" s="9">
        <f t="shared" si="13"/>
        <v>44.472935305567063</v>
      </c>
      <c r="J65" s="10">
        <f t="shared" si="14"/>
        <v>0.9606313597053896</v>
      </c>
      <c r="K65" s="10"/>
      <c r="L65" s="28"/>
      <c r="M65" s="17"/>
      <c r="N65" s="34">
        <v>9.9999999999999995E-8</v>
      </c>
      <c r="O65" s="84">
        <f t="shared" si="16"/>
        <v>270.85768779023579</v>
      </c>
      <c r="P65" s="84">
        <f t="shared" si="17"/>
        <v>258.89569392427336</v>
      </c>
      <c r="Q65" s="84">
        <f t="shared" ref="Q65:Q68" si="19">+Q54/$N$40</f>
        <v>185.58431496520521</v>
      </c>
      <c r="R65" s="29"/>
      <c r="S65"/>
      <c r="T65"/>
      <c r="U65" s="92">
        <v>9.9999999999999995E-8</v>
      </c>
      <c r="V65" s="93">
        <f t="shared" ref="V65:V68" si="20">+(U65+$H$38)*1000000000</f>
        <v>103.67596281540504</v>
      </c>
      <c r="W65" s="39"/>
      <c r="X65" s="94">
        <f>+V65/$V$63</f>
        <v>28.203757225433534</v>
      </c>
      <c r="Y65" s="39"/>
      <c r="Z65" s="78">
        <f>+O65*$X$65</f>
        <v>7639.2044690780831</v>
      </c>
      <c r="AA65" s="78">
        <f t="shared" ref="AA65:AB65" si="21">+P65*$X$65</f>
        <v>7301.8312981503532</v>
      </c>
      <c r="AB65" s="78">
        <f t="shared" si="21"/>
        <v>5234.1749641270389</v>
      </c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7"/>
      <c r="C66" s="54"/>
      <c r="D66" s="34">
        <v>1E-8</v>
      </c>
      <c r="E66" s="9">
        <v>347616.71</v>
      </c>
      <c r="F66" s="9">
        <v>351040.71</v>
      </c>
      <c r="H66" s="9">
        <f t="shared" si="12"/>
        <v>349328.71</v>
      </c>
      <c r="I66" s="9">
        <f t="shared" si="13"/>
        <v>97.634102470750307</v>
      </c>
      <c r="J66" s="10">
        <f t="shared" si="14"/>
        <v>2.1089316449582687</v>
      </c>
      <c r="K66" s="10"/>
      <c r="L66" s="28"/>
      <c r="M66" s="17"/>
      <c r="N66" s="34">
        <v>1E-8</v>
      </c>
      <c r="O66" s="84">
        <f t="shared" si="16"/>
        <v>1567.0120723251468</v>
      </c>
      <c r="P66" s="84">
        <f t="shared" si="17"/>
        <v>1178.1947321179923</v>
      </c>
      <c r="Q66" s="84">
        <f t="shared" si="19"/>
        <v>1446.9398412278676</v>
      </c>
      <c r="R66" s="29"/>
      <c r="S66"/>
      <c r="T66"/>
      <c r="U66" s="92">
        <v>1E-8</v>
      </c>
      <c r="V66" s="93">
        <f t="shared" si="20"/>
        <v>13.675962815405045</v>
      </c>
      <c r="W66" s="39"/>
      <c r="X66" s="94">
        <f>+V66/$V$63</f>
        <v>3.7203757225433534</v>
      </c>
      <c r="Y66" s="39"/>
      <c r="Z66" s="78">
        <f>+O66*$X$66</f>
        <v>5829.8736708108254</v>
      </c>
      <c r="AA66" s="78">
        <f t="shared" ref="AA66:AB66" si="22">+P66*$X$66</f>
        <v>4383.3270778002479</v>
      </c>
      <c r="AB66" s="78">
        <f t="shared" si="22"/>
        <v>5383.1598572848934</v>
      </c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7"/>
      <c r="C67" s="17"/>
      <c r="D67" s="34">
        <v>1.0000000000000001E-9</v>
      </c>
      <c r="E67" s="9">
        <v>335895.38</v>
      </c>
      <c r="F67" s="9">
        <v>365419.33</v>
      </c>
      <c r="H67" s="9">
        <f t="shared" si="12"/>
        <v>350657.35499999998</v>
      </c>
      <c r="I67" s="9">
        <f t="shared" si="13"/>
        <v>98.005446303546776</v>
      </c>
      <c r="J67" s="10">
        <f t="shared" si="14"/>
        <v>2.1169528049866431</v>
      </c>
      <c r="K67" s="10"/>
      <c r="L67" s="28"/>
      <c r="M67" s="17"/>
      <c r="N67" s="34">
        <v>1.0000000000000001E-9</v>
      </c>
      <c r="O67" s="84">
        <f t="shared" si="16"/>
        <v>1849.5465299000343</v>
      </c>
      <c r="P67" s="84">
        <f t="shared" si="17"/>
        <v>1184.61626209058</v>
      </c>
      <c r="Q67" s="84">
        <f t="shared" si="19"/>
        <v>1980.5760867366539</v>
      </c>
      <c r="R67" s="29"/>
      <c r="S67"/>
      <c r="T67"/>
      <c r="U67" s="92">
        <v>1.0000000000000001E-9</v>
      </c>
      <c r="V67" s="93">
        <f t="shared" si="20"/>
        <v>4.6759628154050459</v>
      </c>
      <c r="W67" s="39"/>
      <c r="X67" s="94">
        <f>+V67/$V$63</f>
        <v>1.2720375722543356</v>
      </c>
      <c r="Y67" s="39"/>
      <c r="Z67" s="78">
        <f>+O67*$X$67</f>
        <v>2352.6926776654705</v>
      </c>
      <c r="AA67" s="78">
        <f t="shared" ref="AA67:AB67" si="23">+P67*$X$67</f>
        <v>1506.8763940827071</v>
      </c>
      <c r="AB67" s="78">
        <f t="shared" si="23"/>
        <v>2519.3671970374858</v>
      </c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7"/>
      <c r="C68" s="54"/>
      <c r="D68" s="11">
        <v>1E-10</v>
      </c>
      <c r="E68" s="9">
        <v>256697.19</v>
      </c>
      <c r="F68" s="9"/>
      <c r="G68" s="9"/>
      <c r="H68" s="9">
        <f t="shared" si="12"/>
        <v>256697.19</v>
      </c>
      <c r="I68" s="9">
        <f t="shared" si="13"/>
        <v>71.744460260405333</v>
      </c>
      <c r="J68" s="10">
        <f t="shared" si="14"/>
        <v>1.5497060838854761</v>
      </c>
      <c r="K68" s="10"/>
      <c r="L68" s="28"/>
      <c r="M68" s="17"/>
      <c r="N68" s="34">
        <v>1E-10</v>
      </c>
      <c r="O68" s="84">
        <f t="shared" si="16"/>
        <v>1577.8009012892569</v>
      </c>
      <c r="P68" s="84">
        <f t="shared" si="17"/>
        <v>730.49344088793168</v>
      </c>
      <c r="Q68" s="84">
        <f t="shared" si="19"/>
        <v>1934.22194565673</v>
      </c>
      <c r="R68" s="29"/>
      <c r="S68"/>
      <c r="T68" s="78"/>
      <c r="U68" s="92">
        <v>1E-10</v>
      </c>
      <c r="V68" s="93">
        <f t="shared" si="20"/>
        <v>3.7759628154050451</v>
      </c>
      <c r="W68" s="39"/>
      <c r="X68" s="94">
        <f>+V68/$V$63</f>
        <v>1.0272037572254333</v>
      </c>
      <c r="Y68" s="39"/>
      <c r="Z68" s="78">
        <f>+O68*$X$68</f>
        <v>1620.7230139579997</v>
      </c>
      <c r="AA68" s="78">
        <f t="shared" ref="AA68:AB68" si="24">+P68*$X$68</f>
        <v>750.36560710861841</v>
      </c>
      <c r="AB68" s="78">
        <f t="shared" si="24"/>
        <v>1986.840049886481</v>
      </c>
      <c r="AC68" s="34"/>
      <c r="AD68" s="34"/>
      <c r="AE68" s="34"/>
      <c r="AF68" s="18"/>
      <c r="AG68" s="18"/>
      <c r="AH68" s="38"/>
      <c r="AI68" s="38"/>
      <c r="AJ68" s="38"/>
      <c r="AK68" s="38"/>
      <c r="AL68" s="38"/>
      <c r="AM68" s="18"/>
      <c r="AN68" s="18"/>
      <c r="AO68" s="18"/>
      <c r="AP68" s="18"/>
      <c r="AQ68" s="18"/>
    </row>
    <row r="69" spans="2:43" x14ac:dyDescent="0.25">
      <c r="B69" s="17"/>
      <c r="C69" s="17"/>
      <c r="D69" s="17"/>
      <c r="E69" s="17"/>
      <c r="F69" s="17"/>
      <c r="G69" s="17"/>
      <c r="H69" s="17"/>
      <c r="I69" s="17"/>
      <c r="J69" s="9"/>
      <c r="K69" s="10"/>
      <c r="L69" s="28"/>
      <c r="M69" s="18"/>
      <c r="N69" s="18"/>
      <c r="O69" s="18"/>
      <c r="P69" s="29"/>
      <c r="Q69" s="29"/>
      <c r="R69" s="18"/>
      <c r="S69" s="18"/>
      <c r="T69" s="29"/>
      <c r="U69" s="29"/>
      <c r="V69" s="29"/>
      <c r="W69" s="29"/>
      <c r="X69" s="29"/>
      <c r="Y69" s="18"/>
      <c r="Z69" s="17"/>
      <c r="AA69" s="34"/>
      <c r="AB69" s="34"/>
      <c r="AC69" s="34"/>
      <c r="AD69" s="34"/>
      <c r="AE69" s="34"/>
      <c r="AF69" s="18"/>
      <c r="AG69" s="18"/>
      <c r="AH69" s="38"/>
      <c r="AI69" s="38"/>
      <c r="AJ69" s="38"/>
      <c r="AK69" s="38"/>
      <c r="AL69" s="38"/>
      <c r="AM69" s="29"/>
      <c r="AN69" s="18"/>
      <c r="AO69" s="18"/>
      <c r="AP69" s="18"/>
      <c r="AQ69" s="18"/>
    </row>
    <row r="70" spans="2:43" x14ac:dyDescent="0.25">
      <c r="B70" s="17"/>
      <c r="C70" s="17"/>
      <c r="D70" s="17"/>
      <c r="E70" s="17"/>
      <c r="F70" s="17"/>
      <c r="G70" s="17"/>
      <c r="H70" s="17"/>
      <c r="I70" s="17"/>
      <c r="J70" s="9"/>
      <c r="K70" s="10"/>
      <c r="L70" s="28"/>
      <c r="M70" s="17" t="s">
        <v>56</v>
      </c>
      <c r="N70" s="17"/>
      <c r="O70" s="17"/>
      <c r="P70" s="9"/>
      <c r="Q70" s="9"/>
      <c r="R70" s="17"/>
      <c r="S70" s="18"/>
      <c r="T70" s="29"/>
      <c r="U70" s="29"/>
      <c r="V70" s="29"/>
      <c r="W70" s="29"/>
      <c r="X70" s="29"/>
      <c r="Y70" s="18"/>
      <c r="Z70" s="17"/>
      <c r="AA70" s="34"/>
      <c r="AB70" s="34"/>
      <c r="AC70" s="34"/>
      <c r="AD70" s="34"/>
      <c r="AE70" s="34"/>
      <c r="AF70" s="18"/>
      <c r="AG70" s="18"/>
      <c r="AH70" s="38"/>
      <c r="AI70" s="38"/>
      <c r="AJ70" s="38"/>
      <c r="AK70" s="38"/>
      <c r="AL70" s="38"/>
      <c r="AM70" s="29"/>
      <c r="AN70" s="18"/>
      <c r="AO70" s="18"/>
      <c r="AP70" s="18"/>
      <c r="AQ70" s="18"/>
    </row>
    <row r="71" spans="2:43" x14ac:dyDescent="0.25">
      <c r="E71" s="13" t="s">
        <v>5</v>
      </c>
      <c r="H71" s="13" t="s">
        <v>3</v>
      </c>
      <c r="I71" s="13" t="s">
        <v>41</v>
      </c>
      <c r="M71" s="17"/>
      <c r="N71" s="17"/>
      <c r="O71" s="13" t="s">
        <v>72</v>
      </c>
      <c r="P71" s="13" t="s">
        <v>77</v>
      </c>
      <c r="Q71" s="13" t="s">
        <v>78</v>
      </c>
      <c r="R71" s="17"/>
      <c r="S71" s="18"/>
      <c r="T71" s="29"/>
      <c r="U71" s="29"/>
      <c r="V71" s="29"/>
      <c r="W71" s="29"/>
      <c r="X71" s="29"/>
      <c r="Y71" s="18"/>
      <c r="Z71" s="17"/>
      <c r="AA71" s="34"/>
      <c r="AB71" s="34"/>
      <c r="AC71" s="34"/>
      <c r="AD71" s="34"/>
      <c r="AE71" s="34"/>
      <c r="AF71" s="18"/>
      <c r="AG71" s="18"/>
      <c r="AH71" s="38"/>
      <c r="AI71" s="38"/>
      <c r="AJ71" s="38"/>
      <c r="AK71" s="38"/>
      <c r="AL71" s="38"/>
      <c r="AM71" s="29"/>
      <c r="AN71" s="18"/>
      <c r="AO71" s="18"/>
      <c r="AP71" s="18"/>
      <c r="AQ71" s="18"/>
    </row>
    <row r="72" spans="2:43" x14ac:dyDescent="0.25">
      <c r="B72" s="13" t="s">
        <v>78</v>
      </c>
      <c r="M72" s="17" t="s">
        <v>53</v>
      </c>
      <c r="N72" s="31" t="s">
        <v>54</v>
      </c>
      <c r="O72" s="85">
        <f t="shared" ref="O72" si="25">+O63*$K$25</f>
        <v>3.8477690238170412E-16</v>
      </c>
      <c r="P72" s="85">
        <f t="shared" ref="P72:Q72" si="26">+P63*$K$25</f>
        <v>2.70546166610468E-16</v>
      </c>
      <c r="Q72" s="85">
        <f t="shared" si="26"/>
        <v>4.6118913335534212E-16</v>
      </c>
      <c r="R72" s="85"/>
      <c r="S72" s="18"/>
      <c r="T72" s="29"/>
      <c r="U72" s="29"/>
      <c r="V72" s="29"/>
      <c r="W72" s="29"/>
      <c r="X72" s="29"/>
      <c r="Y72" s="18"/>
      <c r="Z72" s="17"/>
      <c r="AA72" s="34"/>
      <c r="AB72" s="34"/>
      <c r="AC72" s="34"/>
      <c r="AD72" s="34"/>
      <c r="AE72" s="34"/>
      <c r="AF72" s="18"/>
      <c r="AG72" s="18"/>
      <c r="AH72" s="38"/>
      <c r="AI72" s="38"/>
      <c r="AJ72" s="38"/>
      <c r="AK72" s="38"/>
      <c r="AL72" s="38"/>
      <c r="AM72" s="18"/>
      <c r="AN72" s="18"/>
      <c r="AO72" s="18"/>
      <c r="AP72" s="18"/>
      <c r="AQ72" s="18"/>
    </row>
    <row r="73" spans="2:43" x14ac:dyDescent="0.25">
      <c r="C73" s="27" t="s">
        <v>7</v>
      </c>
      <c r="E73" s="10">
        <v>900226.7</v>
      </c>
      <c r="F73" s="10">
        <v>915665.28</v>
      </c>
      <c r="G73" s="10">
        <v>913346.28</v>
      </c>
      <c r="H73" s="10">
        <f>AVERAGE(E73:G73)</f>
        <v>909746.08666666655</v>
      </c>
      <c r="I73" s="9">
        <f>+H73*100/$H$73</f>
        <v>100</v>
      </c>
      <c r="J73" s="10">
        <f>+H73*100/16564250</f>
        <v>5.4922262503081427</v>
      </c>
      <c r="M73" s="31" t="s">
        <v>57</v>
      </c>
      <c r="N73" s="34">
        <v>9.9999999999999995E-7</v>
      </c>
      <c r="O73" s="85">
        <f t="shared" ref="O73:P73" si="27">+O64*$K$25</f>
        <v>2.0183793749660423E-17</v>
      </c>
      <c r="P73" s="85">
        <f t="shared" si="27"/>
        <v>9.7677943365496168E-18</v>
      </c>
      <c r="Q73" s="85"/>
      <c r="R73" s="85"/>
      <c r="S73" s="18"/>
      <c r="T73" s="29"/>
      <c r="U73" s="29"/>
      <c r="V73" s="29"/>
      <c r="W73" s="29"/>
      <c r="X73" s="29"/>
      <c r="Y73" s="18"/>
      <c r="Z73" s="17"/>
      <c r="AA73" s="34"/>
      <c r="AB73" s="34"/>
      <c r="AC73" s="34"/>
      <c r="AD73" s="34"/>
      <c r="AE73" s="34"/>
      <c r="AF73" s="18"/>
      <c r="AG73" s="18"/>
      <c r="AH73" s="38"/>
      <c r="AI73" s="38"/>
      <c r="AJ73" s="38"/>
      <c r="AK73" s="38"/>
      <c r="AL73" s="38"/>
      <c r="AM73" s="18"/>
      <c r="AN73" s="18"/>
      <c r="AO73" s="18"/>
      <c r="AP73" s="18"/>
      <c r="AQ73" s="18"/>
    </row>
    <row r="74" spans="2:43" x14ac:dyDescent="0.25">
      <c r="C74" s="27" t="s">
        <v>40</v>
      </c>
      <c r="D74" s="11">
        <v>9.9999999999999995E-7</v>
      </c>
      <c r="E74" s="10">
        <v>172574.52</v>
      </c>
      <c r="F74" s="10">
        <v>173330.13</v>
      </c>
      <c r="G74" s="10">
        <v>259341.24</v>
      </c>
      <c r="H74" s="10">
        <f t="shared" ref="H74:H79" si="28">AVERAGE(E74:G74)</f>
        <v>201748.63</v>
      </c>
      <c r="I74" s="9">
        <f t="shared" ref="I74:I79" si="29">+H74*100/$H$73</f>
        <v>22.176366895867861</v>
      </c>
      <c r="J74" s="10">
        <f t="shared" ref="J74:J79" si="30">+H74*100/16564250</f>
        <v>1.2179762440194999</v>
      </c>
      <c r="M74" s="17"/>
      <c r="N74" s="34">
        <v>9.9999999999999995E-8</v>
      </c>
      <c r="O74" s="85">
        <f t="shared" ref="O74:Q74" si="31">+O65*$K$25</f>
        <v>6.0109147644750366E-17</v>
      </c>
      <c r="P74" s="85">
        <f t="shared" si="31"/>
        <v>5.7454523878001027E-17</v>
      </c>
      <c r="Q74" s="85">
        <f t="shared" si="31"/>
        <v>4.1185151803527712E-17</v>
      </c>
      <c r="R74" s="85"/>
      <c r="S74" s="18"/>
      <c r="T74" s="18"/>
      <c r="U74" s="18"/>
      <c r="V74" s="18"/>
      <c r="W74" s="18"/>
      <c r="X74" s="18"/>
      <c r="Y74" s="18"/>
      <c r="Z74" s="17"/>
      <c r="AA74" s="34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C75" s="27" t="s">
        <v>37</v>
      </c>
      <c r="D75" s="11">
        <v>9.9999999999999995E-7</v>
      </c>
      <c r="E75" s="9">
        <v>138384.07</v>
      </c>
      <c r="F75" s="9">
        <v>165868.26999999999</v>
      </c>
      <c r="H75" s="10">
        <f t="shared" si="28"/>
        <v>152126.16999999998</v>
      </c>
      <c r="I75" s="9">
        <f t="shared" si="29"/>
        <v>16.721827357058963</v>
      </c>
      <c r="J75" s="10">
        <f t="shared" si="30"/>
        <v>0.91840059163560062</v>
      </c>
      <c r="M75" s="17"/>
      <c r="N75" s="34">
        <v>1E-8</v>
      </c>
      <c r="O75" s="85">
        <f t="shared" ref="O75:Q75" si="32">+O66*$K$25</f>
        <v>3.4775368860656E-16</v>
      </c>
      <c r="P75" s="85">
        <f t="shared" si="32"/>
        <v>2.6146675652785562E-16</v>
      </c>
      <c r="Q75" s="85">
        <f t="shared" si="32"/>
        <v>3.2110707751738002E-16</v>
      </c>
      <c r="R75" s="85"/>
      <c r="S75" s="18"/>
      <c r="T75" s="18"/>
      <c r="U75" s="18"/>
      <c r="V75" s="18"/>
      <c r="W75" s="18"/>
      <c r="X75" s="18"/>
      <c r="Y75" s="18"/>
      <c r="Z75" s="18"/>
      <c r="AA75" s="34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C76" s="27"/>
      <c r="D76" s="11">
        <v>9.9999999999999995E-8</v>
      </c>
      <c r="E76" s="9">
        <v>264573.36</v>
      </c>
      <c r="F76" s="9">
        <v>265375.2</v>
      </c>
      <c r="H76" s="10">
        <f t="shared" si="28"/>
        <v>264974.28000000003</v>
      </c>
      <c r="I76" s="9">
        <f t="shared" si="29"/>
        <v>29.126179698213676</v>
      </c>
      <c r="J76" s="10">
        <f t="shared" si="30"/>
        <v>1.5996756870972126</v>
      </c>
      <c r="M76" s="17"/>
      <c r="N76" s="34">
        <v>1.0000000000000001E-9</v>
      </c>
      <c r="O76" s="85">
        <f t="shared" ref="O76:Q76" si="33">+O67*$K$25</f>
        <v>4.104541626586411E-16</v>
      </c>
      <c r="P76" s="85">
        <f t="shared" si="33"/>
        <v>2.6289183216952022E-16</v>
      </c>
      <c r="Q76" s="85">
        <f t="shared" si="33"/>
        <v>4.3953244004472794E-16</v>
      </c>
      <c r="R76" s="85"/>
      <c r="S76" s="18"/>
      <c r="T76" s="18"/>
      <c r="U76" s="18"/>
      <c r="V76" s="18"/>
      <c r="W76" s="18"/>
      <c r="X76" s="18"/>
      <c r="Y76" s="18"/>
      <c r="Z76" s="18"/>
      <c r="AA76" s="34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C77" s="27"/>
      <c r="D77" s="11">
        <v>1E-8</v>
      </c>
      <c r="E77" s="9">
        <v>697299.1</v>
      </c>
      <c r="F77" s="9">
        <v>692097.34</v>
      </c>
      <c r="H77" s="10">
        <f t="shared" si="28"/>
        <v>694698.22</v>
      </c>
      <c r="I77" s="9">
        <f t="shared" si="29"/>
        <v>76.361770628263145</v>
      </c>
      <c r="J77" s="10">
        <f t="shared" si="30"/>
        <v>4.1939612116455622</v>
      </c>
      <c r="M77" s="17"/>
      <c r="N77" s="34">
        <v>1E-10</v>
      </c>
      <c r="O77" s="85">
        <f t="shared" ref="O77:Q77" si="34">+O68*$K$25</f>
        <v>3.5014796184431972E-16</v>
      </c>
      <c r="P77" s="85">
        <f t="shared" si="34"/>
        <v>1.6211220899832738E-16</v>
      </c>
      <c r="Q77" s="85">
        <f t="shared" si="34"/>
        <v>4.292454589630738E-16</v>
      </c>
      <c r="R77" s="85"/>
      <c r="S77" s="18"/>
      <c r="T77" s="18"/>
      <c r="U77" s="18"/>
      <c r="V77" s="18"/>
      <c r="W77" s="18"/>
      <c r="X77" s="18"/>
      <c r="Y77" s="18"/>
      <c r="Z77" s="18"/>
      <c r="AA77" s="34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D78" s="11">
        <v>1.0000000000000001E-9</v>
      </c>
      <c r="E78" s="9">
        <v>873817.88</v>
      </c>
      <c r="F78" s="9">
        <v>879181.47</v>
      </c>
      <c r="H78" s="10">
        <f t="shared" si="28"/>
        <v>876499.67500000005</v>
      </c>
      <c r="I78" s="9">
        <f t="shared" si="29"/>
        <v>96.345528477238929</v>
      </c>
      <c r="J78" s="10">
        <f t="shared" si="30"/>
        <v>5.2915144060250237</v>
      </c>
      <c r="M78" s="18"/>
      <c r="N78" s="18"/>
      <c r="O78" s="73"/>
      <c r="P78" s="35"/>
      <c r="Q78" s="35"/>
      <c r="R78" s="18"/>
      <c r="S78" s="18"/>
      <c r="T78" s="18"/>
      <c r="U78" s="18"/>
      <c r="V78" s="18"/>
      <c r="W78" s="18"/>
      <c r="X78" s="18"/>
      <c r="Y78" s="18"/>
      <c r="Z78" s="18"/>
      <c r="AA78" s="34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C79" s="27"/>
      <c r="D79" s="11">
        <v>1E-10</v>
      </c>
      <c r="E79" s="9">
        <v>875975.52</v>
      </c>
      <c r="F79" s="9">
        <v>845439.58</v>
      </c>
      <c r="G79" s="10"/>
      <c r="H79" s="10">
        <f t="shared" si="28"/>
        <v>860707.55</v>
      </c>
      <c r="I79" s="9">
        <f t="shared" si="29"/>
        <v>94.609645769805397</v>
      </c>
      <c r="J79" s="10">
        <f t="shared" si="30"/>
        <v>5.1961758002927994</v>
      </c>
      <c r="T79" s="18"/>
      <c r="U79" s="18"/>
      <c r="V79" s="18"/>
      <c r="W79" s="18"/>
      <c r="X79" s="18"/>
      <c r="Y79" s="18"/>
      <c r="Z79" s="18"/>
      <c r="AA79" s="34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C80" s="27"/>
      <c r="D80" s="58"/>
      <c r="E80" s="9"/>
      <c r="F80" s="9"/>
      <c r="G80" s="10"/>
      <c r="H80" s="9"/>
      <c r="I80" s="27"/>
      <c r="T80" s="18"/>
      <c r="U80" s="18"/>
      <c r="V80" s="18"/>
      <c r="W80" s="18"/>
      <c r="X80" s="18"/>
      <c r="Y80" s="18"/>
      <c r="Z80" s="18"/>
      <c r="AA80" s="34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7"/>
      <c r="D81" s="58"/>
      <c r="E81" s="9"/>
      <c r="F81" s="9"/>
      <c r="G81" s="10"/>
      <c r="H81" s="9"/>
      <c r="I81" s="27"/>
      <c r="N81" s="16"/>
      <c r="O81" s="16"/>
      <c r="P81" s="16"/>
      <c r="Q81" s="16"/>
      <c r="R81" s="16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B82" s="17"/>
      <c r="C82" s="17"/>
      <c r="D82" s="17"/>
      <c r="E82" s="17"/>
      <c r="F82" s="17"/>
      <c r="G82" s="17"/>
      <c r="H82" s="17"/>
      <c r="I82" s="27"/>
      <c r="J82" s="17"/>
      <c r="K82" s="26"/>
      <c r="N82" s="11"/>
      <c r="O82" s="16"/>
      <c r="P82" s="16"/>
      <c r="Q82" s="16"/>
      <c r="R82" s="16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B83" s="17"/>
      <c r="C83" s="17"/>
      <c r="D83" s="17"/>
      <c r="E83" s="17"/>
      <c r="F83" s="17"/>
      <c r="G83" s="17"/>
      <c r="H83" s="17"/>
      <c r="I83" s="27"/>
      <c r="J83" s="9"/>
      <c r="K83" s="10"/>
      <c r="N83" s="11"/>
      <c r="O83" s="16"/>
      <c r="P83" s="16"/>
      <c r="Q83" s="16"/>
      <c r="R83" s="16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B84" s="17"/>
      <c r="C84" s="54"/>
      <c r="D84" s="17"/>
      <c r="E84" s="9"/>
      <c r="F84" s="9"/>
      <c r="G84" s="9"/>
      <c r="H84" s="9"/>
      <c r="I84" s="27"/>
      <c r="J84" s="9"/>
      <c r="K84" s="10"/>
      <c r="N84" s="11"/>
      <c r="O84" s="16"/>
      <c r="P84" s="16"/>
      <c r="Q84" s="16"/>
      <c r="R84" s="16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B85" s="17"/>
      <c r="C85" s="54"/>
      <c r="D85" s="34"/>
      <c r="E85" s="9"/>
      <c r="F85" s="9"/>
      <c r="G85" s="9"/>
      <c r="H85" s="9"/>
      <c r="I85" s="27"/>
      <c r="J85" s="9"/>
      <c r="K85" s="10"/>
      <c r="N85" s="11"/>
      <c r="O85" s="16"/>
      <c r="P85" s="16"/>
      <c r="Q85" s="16"/>
      <c r="R85" s="16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B86" s="17"/>
      <c r="C86" s="54"/>
      <c r="D86" s="34"/>
      <c r="E86" s="9"/>
      <c r="F86" s="9"/>
      <c r="G86" s="9"/>
      <c r="H86" s="9"/>
      <c r="I86" s="27"/>
      <c r="J86" s="9"/>
      <c r="K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B87" s="17"/>
      <c r="C87" s="54"/>
      <c r="D87" s="34"/>
      <c r="E87" s="9"/>
      <c r="F87" s="9"/>
      <c r="G87" s="9"/>
      <c r="H87" s="9"/>
      <c r="I87" s="27"/>
      <c r="J87" s="9"/>
      <c r="K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B88" s="17"/>
      <c r="C88" s="54"/>
      <c r="D88" s="34"/>
      <c r="E88" s="9"/>
      <c r="F88" s="9"/>
      <c r="G88" s="9"/>
      <c r="H88" s="9"/>
      <c r="I88" s="27"/>
      <c r="J88" s="9"/>
      <c r="K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B89" s="17"/>
      <c r="C89" s="17"/>
      <c r="D89" s="34"/>
      <c r="E89" s="9"/>
      <c r="F89" s="9"/>
      <c r="G89" s="9"/>
      <c r="H89" s="9"/>
      <c r="I89" s="27"/>
      <c r="J89" s="9"/>
      <c r="K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7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7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7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7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3"/>
      <c r="D94" s="10"/>
      <c r="E94" s="54"/>
      <c r="F94" s="9"/>
      <c r="AF94" s="11"/>
      <c r="AG94" s="11"/>
    </row>
    <row r="95" spans="1:43" x14ac:dyDescent="0.25">
      <c r="C95" s="27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2"/>
      <c r="F98" s="10"/>
      <c r="H98" s="25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58"/>
      <c r="E109" s="58"/>
      <c r="F109" s="58"/>
      <c r="G109" s="58"/>
      <c r="M109" s="18"/>
      <c r="N109" s="18"/>
      <c r="O109" s="18"/>
    </row>
    <row r="110" spans="2:15" x14ac:dyDescent="0.25">
      <c r="B110" s="60"/>
      <c r="D110" s="61"/>
      <c r="E110" s="61"/>
      <c r="F110" s="61"/>
      <c r="G110" s="61"/>
      <c r="M110" s="18"/>
      <c r="N110" s="18"/>
      <c r="O110" s="18"/>
    </row>
    <row r="111" spans="2:15" x14ac:dyDescent="0.25">
      <c r="C111" s="57"/>
      <c r="D111" s="59"/>
      <c r="E111" s="59"/>
      <c r="F111" s="59"/>
      <c r="G111" s="59"/>
      <c r="M111" s="18"/>
      <c r="N111" s="18"/>
      <c r="O111" s="18"/>
    </row>
    <row r="112" spans="2:15" x14ac:dyDescent="0.25">
      <c r="B112" s="60"/>
      <c r="D112" s="61"/>
      <c r="E112" s="61"/>
      <c r="F112" s="61"/>
      <c r="G112" s="61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4"/>
      <c r="D122" s="34"/>
      <c r="E122" s="34"/>
      <c r="F122" s="34"/>
      <c r="G122" s="34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0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5"/>
      <c r="F126" s="35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6"/>
      <c r="D127" s="17"/>
      <c r="E127" s="29"/>
      <c r="F127" s="29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5" t="s">
        <v>92</v>
      </c>
      <c r="D128" s="11"/>
      <c r="E128" s="11">
        <v>3.7620000000000002E-8</v>
      </c>
      <c r="F128" s="62"/>
      <c r="G128" s="11">
        <v>4.3590000000000002E-8</v>
      </c>
      <c r="I128" s="11"/>
      <c r="J128" s="11">
        <v>2.7450000000000001E-8</v>
      </c>
      <c r="K128" s="18"/>
      <c r="L128" s="18"/>
      <c r="M128" s="18"/>
      <c r="N128" s="18"/>
      <c r="O128" s="18"/>
    </row>
    <row r="129" spans="2:15" x14ac:dyDescent="0.25">
      <c r="B129" s="17"/>
      <c r="C129" s="25" t="s">
        <v>93</v>
      </c>
      <c r="D129" s="11"/>
      <c r="E129" s="58">
        <f>+E128-$H$38</f>
        <v>3.3944037184594954E-8</v>
      </c>
      <c r="F129" s="61"/>
      <c r="G129" s="58">
        <f>+G128-$H$38</f>
        <v>3.9914037184594953E-8</v>
      </c>
      <c r="H129" s="34"/>
      <c r="I129" s="34"/>
      <c r="J129" s="58">
        <f>+J128-$H$38</f>
        <v>2.3774037184594956E-8</v>
      </c>
      <c r="K129" s="18"/>
      <c r="L129" s="18"/>
      <c r="M129" s="18"/>
      <c r="N129" s="18"/>
      <c r="O129" s="18"/>
    </row>
    <row r="130" spans="2:15" x14ac:dyDescent="0.25">
      <c r="B130" s="17"/>
      <c r="C130" s="25"/>
      <c r="D130" s="11"/>
      <c r="E130" s="18"/>
      <c r="F130" s="62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5"/>
      <c r="D131" s="11"/>
      <c r="E131" s="18"/>
      <c r="F131" s="62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5"/>
      <c r="D132" s="11"/>
      <c r="E132" s="18"/>
      <c r="F132" s="62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2"/>
      <c r="D133" s="18"/>
      <c r="E133" s="29"/>
      <c r="F133" s="29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2"/>
      <c r="D134" s="29"/>
      <c r="E134" s="29"/>
      <c r="F134" s="29"/>
      <c r="G134" s="18"/>
    </row>
    <row r="136" spans="2:15" x14ac:dyDescent="0.25">
      <c r="D136" s="10"/>
      <c r="E136" s="10"/>
      <c r="F136" s="10"/>
    </row>
    <row r="137" spans="2:15" x14ac:dyDescent="0.25">
      <c r="G137" s="25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5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5"/>
    </row>
    <row r="145" spans="1:9" x14ac:dyDescent="0.25">
      <c r="C145" s="22"/>
      <c r="D145" s="10"/>
      <c r="E145" s="10"/>
    </row>
    <row r="147" spans="1:9" x14ac:dyDescent="0.25">
      <c r="A147" s="14"/>
      <c r="I147" s="33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1">
    <mergeCell ref="AE16:AE18"/>
  </mergeCells>
  <pageMargins left="0.70866141732283472" right="0.70866141732283472" top="0.78740157480314965" bottom="0.78740157480314965" header="0.31496062992125984" footer="0.31496062992125984"/>
  <pageSetup paperSize="9" scale="48" orientation="landscape" verticalDpi="0" r:id="rId1"/>
  <headerFooter>
    <oddHeader>&amp;L&amp;F</oddHeader>
  </headerFooter>
  <rowBreaks count="2" manualBreakCount="2">
    <brk id="35" max="30" man="1"/>
    <brk id="81" max="30" man="1"/>
  </rowBreaks>
  <colBreaks count="1" manualBreakCount="1">
    <brk id="22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88" t="s">
        <v>17</v>
      </c>
      <c r="F7" s="89"/>
      <c r="G7" s="88" t="s">
        <v>16</v>
      </c>
      <c r="H7" s="89"/>
      <c r="I7" s="90" t="s">
        <v>18</v>
      </c>
      <c r="J7" s="91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2026-01-05T14:30:08Z</cp:lastPrinted>
  <dcterms:created xsi:type="dcterms:W3CDTF">2024-02-29T11:10:18Z</dcterms:created>
  <dcterms:modified xsi:type="dcterms:W3CDTF">2026-02-05T11:36:29Z</dcterms:modified>
</cp:coreProperties>
</file>