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fwr\Klotzsche\RENA\Paper\Manuscript_Follow me\Data\Sequential Desorption Procedure\"/>
    </mc:Choice>
  </mc:AlternateContent>
  <bookViews>
    <workbookView xWindow="0" yWindow="7200" windowWidth="11136" windowHeight="408" activeTab="7"/>
  </bookViews>
  <sheets>
    <sheet name="A" sheetId="1" r:id="rId1"/>
    <sheet name="B" sheetId="4" r:id="rId2"/>
    <sheet name="C" sheetId="5" r:id="rId3"/>
    <sheet name="D" sheetId="7" r:id="rId4"/>
    <sheet name="E" sheetId="8" r:id="rId5"/>
    <sheet name="F" sheetId="10" state="hidden" r:id="rId6"/>
    <sheet name="Biomassen" sheetId="18" r:id="rId7"/>
    <sheet name="Gesamtauswertung" sheetId="19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19" l="1"/>
  <c r="C21" i="19"/>
  <c r="T17" i="19"/>
  <c r="S17" i="19"/>
  <c r="C12" i="8"/>
  <c r="C12" i="7"/>
  <c r="C12" i="5"/>
  <c r="C12" i="4"/>
  <c r="C12" i="1"/>
  <c r="I23" i="19" l="1"/>
  <c r="H23" i="19"/>
  <c r="D23" i="19"/>
  <c r="E23" i="19"/>
  <c r="F23" i="19"/>
  <c r="G23" i="19"/>
  <c r="I21" i="19"/>
  <c r="H21" i="19"/>
  <c r="D21" i="19"/>
  <c r="E21" i="19"/>
  <c r="F21" i="19"/>
  <c r="G21" i="19"/>
  <c r="Q4" i="19" l="1"/>
  <c r="Q6" i="19"/>
  <c r="Q8" i="19"/>
  <c r="Q10" i="19"/>
  <c r="F17" i="1" l="1"/>
  <c r="T4" i="19" l="1"/>
  <c r="T10" i="19"/>
  <c r="T8" i="19"/>
  <c r="T6" i="19"/>
  <c r="S10" i="19"/>
  <c r="S8" i="19"/>
  <c r="S6" i="19"/>
  <c r="S4" i="19"/>
  <c r="S12" i="19" s="1"/>
  <c r="N10" i="19"/>
  <c r="O10" i="19"/>
  <c r="P10" i="19"/>
  <c r="M10" i="19"/>
  <c r="N8" i="19"/>
  <c r="O8" i="19"/>
  <c r="P8" i="19"/>
  <c r="M8" i="19"/>
  <c r="N6" i="19"/>
  <c r="O6" i="19"/>
  <c r="P6" i="19"/>
  <c r="M6" i="19"/>
  <c r="N4" i="19"/>
  <c r="O4" i="19"/>
  <c r="P4" i="19"/>
  <c r="M4" i="19"/>
  <c r="F31" i="8" l="1"/>
  <c r="J30" i="8"/>
  <c r="K30" i="8"/>
  <c r="F30" i="8" s="1"/>
  <c r="D30" i="8"/>
  <c r="E30" i="8"/>
  <c r="D30" i="7"/>
  <c r="D29" i="7"/>
  <c r="D28" i="7"/>
  <c r="F27" i="7"/>
  <c r="F30" i="5"/>
  <c r="F32" i="4"/>
  <c r="F31" i="5"/>
  <c r="J30" i="5"/>
  <c r="K30" i="5" s="1"/>
  <c r="D30" i="5"/>
  <c r="E30" i="5" s="1"/>
  <c r="J31" i="4"/>
  <c r="K31" i="4" s="1"/>
  <c r="F31" i="4" s="1"/>
  <c r="D31" i="4"/>
  <c r="E31" i="4"/>
  <c r="F32" i="1"/>
  <c r="F31" i="1"/>
  <c r="J31" i="1"/>
  <c r="K31" i="1" s="1"/>
  <c r="E31" i="1"/>
  <c r="J30" i="1"/>
  <c r="F30" i="1"/>
  <c r="D31" i="1"/>
  <c r="D33" i="1"/>
  <c r="F16" i="8" l="1"/>
  <c r="I14" i="8"/>
  <c r="I13" i="8"/>
  <c r="C9" i="8"/>
  <c r="I14" i="4" l="1"/>
  <c r="I13" i="5"/>
  <c r="I13" i="7"/>
  <c r="I14" i="7"/>
  <c r="I14" i="5"/>
  <c r="I10" i="5"/>
  <c r="I13" i="4"/>
  <c r="I10" i="4"/>
  <c r="I14" i="1"/>
  <c r="I13" i="1"/>
  <c r="D19" i="1"/>
  <c r="D18" i="1"/>
  <c r="D17" i="1"/>
  <c r="M7" i="1"/>
  <c r="M6" i="1"/>
  <c r="I10" i="1"/>
  <c r="C9" i="1"/>
  <c r="D29" i="1" l="1"/>
  <c r="I9" i="1"/>
  <c r="F26" i="10" l="1"/>
  <c r="K25" i="10"/>
  <c r="E25" i="10"/>
  <c r="D25" i="10"/>
  <c r="D29" i="8"/>
  <c r="D28" i="8"/>
  <c r="D29" i="5"/>
  <c r="D28" i="5"/>
  <c r="D30" i="4" l="1"/>
  <c r="D29" i="4"/>
  <c r="D30" i="1"/>
  <c r="D6" i="18" l="1"/>
  <c r="E6" i="18"/>
  <c r="F6" i="18"/>
  <c r="G6" i="18"/>
  <c r="C6" i="18"/>
  <c r="I10" i="8"/>
  <c r="I6" i="5"/>
  <c r="I10" i="10"/>
  <c r="I9" i="10"/>
  <c r="I9" i="8"/>
  <c r="I10" i="7"/>
  <c r="I9" i="7"/>
  <c r="I9" i="5"/>
  <c r="F13" i="10" l="1"/>
  <c r="I6" i="10" l="1"/>
  <c r="I5" i="10"/>
  <c r="I6" i="8"/>
  <c r="I5" i="8"/>
  <c r="I6" i="7"/>
  <c r="I5" i="7"/>
  <c r="I5" i="5"/>
  <c r="I6" i="4"/>
  <c r="I5" i="4"/>
  <c r="I6" i="1"/>
  <c r="I5" i="1"/>
  <c r="C10" i="10" l="1"/>
  <c r="C9" i="10"/>
  <c r="D26" i="10"/>
  <c r="D24" i="10"/>
  <c r="D23" i="10"/>
  <c r="D22" i="10"/>
  <c r="D21" i="10"/>
  <c r="D20" i="10"/>
  <c r="D19" i="10"/>
  <c r="D18" i="10"/>
  <c r="D17" i="10"/>
  <c r="D16" i="10"/>
  <c r="D15" i="10"/>
  <c r="D14" i="10"/>
  <c r="D13" i="10"/>
  <c r="M7" i="10"/>
  <c r="M6" i="10"/>
  <c r="O6" i="10" s="1"/>
  <c r="D27" i="8"/>
  <c r="D26" i="8"/>
  <c r="D25" i="8"/>
  <c r="D24" i="8"/>
  <c r="D23" i="8"/>
  <c r="D22" i="8"/>
  <c r="D21" i="8"/>
  <c r="D20" i="8"/>
  <c r="D19" i="8"/>
  <c r="D18" i="8"/>
  <c r="D17" i="8"/>
  <c r="D16" i="8"/>
  <c r="C10" i="8"/>
  <c r="M7" i="8"/>
  <c r="M6" i="8"/>
  <c r="C10" i="7"/>
  <c r="C9" i="7"/>
  <c r="C11" i="7" s="1"/>
  <c r="D27" i="7"/>
  <c r="D26" i="7"/>
  <c r="D25" i="7"/>
  <c r="D24" i="7"/>
  <c r="D23" i="7"/>
  <c r="D22" i="7"/>
  <c r="D21" i="7"/>
  <c r="D20" i="7"/>
  <c r="D19" i="7"/>
  <c r="D18" i="7"/>
  <c r="D17" i="7"/>
  <c r="D16" i="7"/>
  <c r="M7" i="7"/>
  <c r="M6" i="7"/>
  <c r="C9" i="5"/>
  <c r="C10" i="5"/>
  <c r="C9" i="4"/>
  <c r="C10" i="4"/>
  <c r="C10" i="1"/>
  <c r="D27" i="1"/>
  <c r="D25" i="1"/>
  <c r="D24" i="1"/>
  <c r="D22" i="1"/>
  <c r="D20" i="1"/>
  <c r="C11" i="8" l="1"/>
  <c r="O6" i="7"/>
  <c r="D29" i="10"/>
  <c r="C11" i="10"/>
  <c r="F27" i="8"/>
  <c r="D32" i="8"/>
  <c r="D32" i="7"/>
  <c r="F16" i="7"/>
  <c r="C11" i="1"/>
  <c r="F24" i="10"/>
  <c r="E26" i="10"/>
  <c r="J26" i="10" s="1"/>
  <c r="J25" i="10"/>
  <c r="E13" i="10"/>
  <c r="J13" i="10" s="1"/>
  <c r="O6" i="8"/>
  <c r="E16" i="8"/>
  <c r="E16" i="7"/>
  <c r="E17" i="1" l="1"/>
  <c r="E18" i="1" s="1"/>
  <c r="E19" i="1" s="1"/>
  <c r="E20" i="1" s="1"/>
  <c r="E14" i="10"/>
  <c r="K26" i="10"/>
  <c r="F25" i="10"/>
  <c r="F28" i="10" s="1"/>
  <c r="E17" i="8"/>
  <c r="J16" i="8"/>
  <c r="J16" i="7"/>
  <c r="E17" i="7"/>
  <c r="M7" i="5"/>
  <c r="M6" i="5"/>
  <c r="M7" i="4"/>
  <c r="M6" i="4"/>
  <c r="O6" i="1" l="1"/>
  <c r="O6" i="5"/>
  <c r="J14" i="10"/>
  <c r="E15" i="10"/>
  <c r="J17" i="8"/>
  <c r="E18" i="8"/>
  <c r="J17" i="7"/>
  <c r="E18" i="7"/>
  <c r="O6" i="4"/>
  <c r="J15" i="10" l="1"/>
  <c r="K15" i="10" s="1"/>
  <c r="E16" i="10"/>
  <c r="J18" i="8"/>
  <c r="K18" i="8" s="1"/>
  <c r="E19" i="8"/>
  <c r="J18" i="7"/>
  <c r="K18" i="7" s="1"/>
  <c r="E19" i="7"/>
  <c r="D27" i="5"/>
  <c r="D26" i="5"/>
  <c r="D25" i="5"/>
  <c r="D24" i="5"/>
  <c r="D23" i="5"/>
  <c r="D22" i="5"/>
  <c r="D21" i="5"/>
  <c r="D20" i="5"/>
  <c r="D19" i="5"/>
  <c r="D18" i="5"/>
  <c r="D17" i="5"/>
  <c r="D16" i="5"/>
  <c r="C11" i="5"/>
  <c r="D28" i="4"/>
  <c r="D27" i="4"/>
  <c r="D26" i="4"/>
  <c r="D25" i="4"/>
  <c r="D24" i="4"/>
  <c r="D23" i="4"/>
  <c r="D22" i="4"/>
  <c r="D21" i="4"/>
  <c r="D20" i="4"/>
  <c r="D19" i="4"/>
  <c r="D18" i="4"/>
  <c r="D17" i="4"/>
  <c r="D33" i="4" s="1"/>
  <c r="C11" i="4"/>
  <c r="D28" i="1"/>
  <c r="D26" i="1"/>
  <c r="D23" i="1"/>
  <c r="D21" i="1"/>
  <c r="F28" i="1" s="1"/>
  <c r="F28" i="4" l="1"/>
  <c r="F17" i="4"/>
  <c r="D32" i="5"/>
  <c r="E17" i="10"/>
  <c r="J16" i="10"/>
  <c r="K16" i="10" s="1"/>
  <c r="J19" i="8"/>
  <c r="K19" i="8" s="1"/>
  <c r="E20" i="8"/>
  <c r="J19" i="7"/>
  <c r="K19" i="7" s="1"/>
  <c r="E20" i="7"/>
  <c r="F27" i="5"/>
  <c r="E21" i="1"/>
  <c r="E22" i="1" s="1"/>
  <c r="E23" i="1" s="1"/>
  <c r="E24" i="1" s="1"/>
  <c r="E25" i="1" s="1"/>
  <c r="E26" i="1" s="1"/>
  <c r="E27" i="1" s="1"/>
  <c r="E16" i="5"/>
  <c r="J16" i="5" s="1"/>
  <c r="F16" i="5"/>
  <c r="E17" i="4"/>
  <c r="J17" i="4" s="1"/>
  <c r="E28" i="1" l="1"/>
  <c r="E29" i="1" s="1"/>
  <c r="J29" i="1" s="1"/>
  <c r="J27" i="1"/>
  <c r="J17" i="10"/>
  <c r="E18" i="10"/>
  <c r="J20" i="8"/>
  <c r="K20" i="8" s="1"/>
  <c r="E21" i="8"/>
  <c r="J20" i="7"/>
  <c r="K20" i="7" s="1"/>
  <c r="E21" i="7"/>
  <c r="E17" i="5"/>
  <c r="J17" i="5" s="1"/>
  <c r="E18" i="4"/>
  <c r="E19" i="10" l="1"/>
  <c r="J18" i="10"/>
  <c r="K17" i="10"/>
  <c r="J21" i="8"/>
  <c r="K21" i="8" s="1"/>
  <c r="E22" i="8"/>
  <c r="J21" i="7"/>
  <c r="K21" i="7" s="1"/>
  <c r="E22" i="7"/>
  <c r="E18" i="5"/>
  <c r="J18" i="5" s="1"/>
  <c r="K18" i="5" s="1"/>
  <c r="E19" i="4"/>
  <c r="J18" i="4"/>
  <c r="K18" i="10" l="1"/>
  <c r="J19" i="10"/>
  <c r="E20" i="10"/>
  <c r="J22" i="8"/>
  <c r="K22" i="8" s="1"/>
  <c r="E23" i="8"/>
  <c r="J22" i="7"/>
  <c r="K22" i="7" s="1"/>
  <c r="E23" i="7"/>
  <c r="E19" i="5"/>
  <c r="J19" i="5" s="1"/>
  <c r="K19" i="5" s="1"/>
  <c r="E20" i="4"/>
  <c r="J19" i="4"/>
  <c r="J17" i="1"/>
  <c r="K19" i="4" l="1"/>
  <c r="E21" i="10"/>
  <c r="J20" i="10"/>
  <c r="K20" i="10" s="1"/>
  <c r="K19" i="10"/>
  <c r="J23" i="8"/>
  <c r="K23" i="8" s="1"/>
  <c r="E24" i="8"/>
  <c r="J23" i="7"/>
  <c r="K23" i="7" s="1"/>
  <c r="E24" i="7"/>
  <c r="E20" i="5"/>
  <c r="J20" i="5" s="1"/>
  <c r="K20" i="5" s="1"/>
  <c r="J20" i="4"/>
  <c r="K20" i="4" s="1"/>
  <c r="E21" i="4"/>
  <c r="J18" i="1"/>
  <c r="J21" i="10" l="1"/>
  <c r="E22" i="10"/>
  <c r="J24" i="8"/>
  <c r="K24" i="8" s="1"/>
  <c r="E25" i="8"/>
  <c r="J24" i="7"/>
  <c r="K24" i="7" s="1"/>
  <c r="E25" i="7"/>
  <c r="E21" i="5"/>
  <c r="J21" i="5" s="1"/>
  <c r="K21" i="5" s="1"/>
  <c r="J21" i="4"/>
  <c r="E22" i="4"/>
  <c r="J19" i="1"/>
  <c r="J22" i="10" l="1"/>
  <c r="E23" i="10"/>
  <c r="K22" i="10"/>
  <c r="K21" i="10"/>
  <c r="J25" i="8"/>
  <c r="K25" i="8" s="1"/>
  <c r="E26" i="8"/>
  <c r="J25" i="7"/>
  <c r="K25" i="7" s="1"/>
  <c r="E26" i="7"/>
  <c r="E22" i="5"/>
  <c r="J22" i="5" s="1"/>
  <c r="K22" i="5" s="1"/>
  <c r="K21" i="4"/>
  <c r="K19" i="1"/>
  <c r="E23" i="4"/>
  <c r="J22" i="4"/>
  <c r="J20" i="1"/>
  <c r="E24" i="10" l="1"/>
  <c r="J24" i="10" s="1"/>
  <c r="J23" i="10"/>
  <c r="J26" i="8"/>
  <c r="E27" i="8"/>
  <c r="J26" i="7"/>
  <c r="K26" i="7" s="1"/>
  <c r="E27" i="7"/>
  <c r="E23" i="5"/>
  <c r="J23" i="5" s="1"/>
  <c r="K23" i="5" s="1"/>
  <c r="K22" i="4"/>
  <c r="K20" i="1"/>
  <c r="E24" i="4"/>
  <c r="J23" i="4"/>
  <c r="J27" i="8" l="1"/>
  <c r="K27" i="8" s="1"/>
  <c r="E28" i="8"/>
  <c r="J27" i="7"/>
  <c r="E28" i="7"/>
  <c r="E24" i="5"/>
  <c r="J24" i="5" s="1"/>
  <c r="K24" i="5" s="1"/>
  <c r="K24" i="10"/>
  <c r="K23" i="10"/>
  <c r="K26" i="8"/>
  <c r="K23" i="4"/>
  <c r="J24" i="4"/>
  <c r="E25" i="4"/>
  <c r="E26" i="4" s="1"/>
  <c r="J21" i="1"/>
  <c r="J28" i="8" l="1"/>
  <c r="K28" i="8" s="1"/>
  <c r="F28" i="8" s="1"/>
  <c r="E29" i="8"/>
  <c r="J29" i="8" s="1"/>
  <c r="K27" i="7"/>
  <c r="J28" i="7"/>
  <c r="E29" i="7"/>
  <c r="E25" i="5"/>
  <c r="J25" i="5" s="1"/>
  <c r="K25" i="5" s="1"/>
  <c r="K24" i="4"/>
  <c r="K21" i="1"/>
  <c r="J22" i="1"/>
  <c r="J25" i="4"/>
  <c r="J29" i="7" l="1"/>
  <c r="K29" i="7" s="1"/>
  <c r="F29" i="7" s="1"/>
  <c r="E30" i="7"/>
  <c r="J30" i="7" s="1"/>
  <c r="K30" i="7" s="1"/>
  <c r="F30" i="7" s="1"/>
  <c r="K29" i="8"/>
  <c r="F29" i="8" s="1"/>
  <c r="K28" i="7"/>
  <c r="F28" i="7" s="1"/>
  <c r="E26" i="5"/>
  <c r="J26" i="5" s="1"/>
  <c r="K26" i="5" s="1"/>
  <c r="K25" i="4"/>
  <c r="J23" i="1"/>
  <c r="K22" i="1"/>
  <c r="E27" i="4"/>
  <c r="E28" i="4" s="1"/>
  <c r="E29" i="4" s="1"/>
  <c r="J26" i="4"/>
  <c r="F31" i="7" l="1"/>
  <c r="E27" i="5"/>
  <c r="E28" i="5" s="1"/>
  <c r="K26" i="4"/>
  <c r="J24" i="1"/>
  <c r="K23" i="1"/>
  <c r="J27" i="4"/>
  <c r="J27" i="5" l="1"/>
  <c r="E29" i="5"/>
  <c r="J29" i="5" s="1"/>
  <c r="J28" i="5"/>
  <c r="K27" i="4"/>
  <c r="J25" i="1"/>
  <c r="K24" i="1"/>
  <c r="K27" i="5"/>
  <c r="J28" i="4"/>
  <c r="K29" i="5" l="1"/>
  <c r="F29" i="5" s="1"/>
  <c r="K28" i="5"/>
  <c r="F28" i="5" s="1"/>
  <c r="K28" i="4"/>
  <c r="J26" i="1"/>
  <c r="K25" i="1"/>
  <c r="J29" i="4" l="1"/>
  <c r="E30" i="4"/>
  <c r="J30" i="4" s="1"/>
  <c r="K26" i="1"/>
  <c r="K30" i="4" l="1"/>
  <c r="F30" i="4" s="1"/>
  <c r="K29" i="4"/>
  <c r="F29" i="4" s="1"/>
  <c r="J28" i="1"/>
  <c r="K29" i="1" s="1"/>
  <c r="F29" i="1" s="1"/>
  <c r="K27" i="1"/>
  <c r="K28" i="1" l="1"/>
  <c r="E30" i="1"/>
  <c r="K30" i="1" s="1"/>
</calcChain>
</file>

<file path=xl/sharedStrings.xml><?xml version="1.0" encoding="utf-8"?>
<sst xmlns="http://schemas.openxmlformats.org/spreadsheetml/2006/main" count="396" uniqueCount="78">
  <si>
    <t>Auswertung Desorptionsversuche durch sequentielles Waschen</t>
  </si>
  <si>
    <t>Sample</t>
  </si>
  <si>
    <t>Ausgangskonz.</t>
  </si>
  <si>
    <t>Endkonz.</t>
  </si>
  <si>
    <t>A</t>
  </si>
  <si>
    <t>Ausgangsmenge (µg/L)</t>
  </si>
  <si>
    <t>Endmenge (µg/L)</t>
  </si>
  <si>
    <t>Ausgangsmenge BG</t>
  </si>
  <si>
    <t>Endmenge BG</t>
  </si>
  <si>
    <t>an Pflanze</t>
  </si>
  <si>
    <t>rinse</t>
  </si>
  <si>
    <t>Wash 1</t>
  </si>
  <si>
    <t>Wash 2</t>
  </si>
  <si>
    <t>Wash 3</t>
  </si>
  <si>
    <t>Wash 4</t>
  </si>
  <si>
    <t>Wash 5</t>
  </si>
  <si>
    <t>Rest</t>
  </si>
  <si>
    <t>loosely adsorbed (biosorbiert?)</t>
  </si>
  <si>
    <t>Wurzel</t>
  </si>
  <si>
    <t>Masse</t>
  </si>
  <si>
    <t>Spross</t>
  </si>
  <si>
    <t>Becherglas</t>
  </si>
  <si>
    <t>BG, feucht</t>
  </si>
  <si>
    <t>BG, trocken</t>
  </si>
  <si>
    <t>Wash 6</t>
  </si>
  <si>
    <t>Wash 7</t>
  </si>
  <si>
    <t>Wash 8</t>
  </si>
  <si>
    <t>Wash 9</t>
  </si>
  <si>
    <t>Wash 10</t>
  </si>
  <si>
    <t>Wash 11</t>
  </si>
  <si>
    <t>Differenz</t>
  </si>
  <si>
    <t>Eu-Konz. Medium</t>
  </si>
  <si>
    <t>Zeit (h)</t>
  </si>
  <si>
    <t>Differenz zu t0</t>
  </si>
  <si>
    <t>entspricht</t>
  </si>
  <si>
    <t>des bioassoziierten Eu</t>
  </si>
  <si>
    <t>Eu in 25 mL (µg)</t>
  </si>
  <si>
    <t>in Wurzel gebunden</t>
  </si>
  <si>
    <t>in Spross gebunden</t>
  </si>
  <si>
    <t>Root</t>
  </si>
  <si>
    <t>Shoot</t>
  </si>
  <si>
    <t>Zeit</t>
  </si>
  <si>
    <t>B</t>
  </si>
  <si>
    <t>C</t>
  </si>
  <si>
    <t>D</t>
  </si>
  <si>
    <t>E</t>
  </si>
  <si>
    <t>F</t>
  </si>
  <si>
    <t>TM</t>
  </si>
  <si>
    <t>ges. desorbiert</t>
  </si>
  <si>
    <t>ges. Biomasse</t>
  </si>
  <si>
    <t>96 h</t>
  </si>
  <si>
    <t>Tiegel</t>
  </si>
  <si>
    <t>Tiegel, voll</t>
  </si>
  <si>
    <t>m(Asche)</t>
  </si>
  <si>
    <t>Tiegel, Asche</t>
  </si>
  <si>
    <t>Loss fraction:</t>
  </si>
  <si>
    <t>Filter mit Rest</t>
  </si>
  <si>
    <t>Asche</t>
  </si>
  <si>
    <t>BG/Tiegel</t>
  </si>
  <si>
    <t>BG/Tiegel, feucht</t>
  </si>
  <si>
    <t>BG/Tiegel, trocken</t>
  </si>
  <si>
    <t>loss</t>
  </si>
  <si>
    <t>Time (min)</t>
  </si>
  <si>
    <t>MW</t>
  </si>
  <si>
    <t>SD</t>
  </si>
  <si>
    <t>Mittelwerte</t>
  </si>
  <si>
    <t>Einzelwerte</t>
  </si>
  <si>
    <t>biosorbiert</t>
  </si>
  <si>
    <t>apoplast</t>
  </si>
  <si>
    <t>symplast</t>
  </si>
  <si>
    <t>Einzelansatz</t>
  </si>
  <si>
    <t>Mittelwert Gesamtansatz</t>
  </si>
  <si>
    <t>STABW.N</t>
  </si>
  <si>
    <t>in Prozent der Ausgangsm.</t>
  </si>
  <si>
    <t>Bioassociation/Transfer factor from Liquid to Plant</t>
  </si>
  <si>
    <t>Mean</t>
  </si>
  <si>
    <t>bioassociated</t>
  </si>
  <si>
    <t>last desorption step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</si>
</sst>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%"/>
    <numFmt numFmtId="165" formatCode="0.0"/>
    <numFmt numFmtId="166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7AFA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33CC3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9">
    <xf numFmtId="0" fontId="0" fillId="0" borderId="0" xfId="0"/>
    <xf numFmtId="0" fontId="3" fillId="0" borderId="0" xfId="0" applyFont="1"/>
    <xf numFmtId="2" fontId="0" fillId="0" borderId="0" xfId="0" applyNumberFormat="1" applyFill="1" applyBorder="1"/>
    <xf numFmtId="1" fontId="4" fillId="0" borderId="0" xfId="0" applyNumberFormat="1" applyFont="1" applyBorder="1" applyAlignment="1">
      <alignment horizontal="right"/>
    </xf>
    <xf numFmtId="0" fontId="0" fillId="0" borderId="1" xfId="0" applyBorder="1"/>
    <xf numFmtId="0" fontId="0" fillId="0" borderId="3" xfId="0" applyBorder="1"/>
    <xf numFmtId="0" fontId="0" fillId="0" borderId="4" xfId="0" applyBorder="1"/>
    <xf numFmtId="2" fontId="0" fillId="0" borderId="5" xfId="0" applyNumberFormat="1" applyFill="1" applyBorder="1"/>
    <xf numFmtId="1" fontId="4" fillId="0" borderId="5" xfId="0" applyNumberFormat="1" applyFont="1" applyBorder="1" applyAlignment="1">
      <alignment horizontal="right"/>
    </xf>
    <xf numFmtId="0" fontId="0" fillId="0" borderId="5" xfId="0" applyBorder="1"/>
    <xf numFmtId="0" fontId="0" fillId="0" borderId="5" xfId="0" applyFont="1" applyBorder="1" applyAlignment="1">
      <alignment horizontal="right"/>
    </xf>
    <xf numFmtId="0" fontId="0" fillId="0" borderId="8" xfId="0" applyBorder="1"/>
    <xf numFmtId="0" fontId="0" fillId="0" borderId="2" xfId="0" applyBorder="1"/>
    <xf numFmtId="0" fontId="2" fillId="0" borderId="4" xfId="0" applyFont="1" applyBorder="1"/>
    <xf numFmtId="0" fontId="0" fillId="0" borderId="4" xfId="0" applyFont="1" applyBorder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2" fontId="0" fillId="0" borderId="4" xfId="0" applyNumberFormat="1" applyBorder="1"/>
    <xf numFmtId="9" fontId="5" fillId="2" borderId="0" xfId="1" applyFont="1" applyFill="1"/>
    <xf numFmtId="0" fontId="0" fillId="0" borderId="0" xfId="0" applyAlignment="1">
      <alignment horizontal="center"/>
    </xf>
    <xf numFmtId="0" fontId="0" fillId="2" borderId="0" xfId="0" applyFill="1"/>
    <xf numFmtId="164" fontId="0" fillId="0" borderId="0" xfId="1" applyNumberFormat="1" applyFont="1"/>
    <xf numFmtId="2" fontId="0" fillId="0" borderId="9" xfId="0" applyNumberFormat="1" applyFill="1" applyBorder="1"/>
    <xf numFmtId="0" fontId="2" fillId="0" borderId="9" xfId="0" applyFont="1" applyBorder="1"/>
    <xf numFmtId="2" fontId="2" fillId="0" borderId="9" xfId="0" applyNumberFormat="1" applyFont="1" applyFill="1" applyBorder="1"/>
    <xf numFmtId="9" fontId="5" fillId="0" borderId="0" xfId="1" applyFont="1" applyFill="1" applyAlignment="1">
      <alignment horizontal="center"/>
    </xf>
    <xf numFmtId="0" fontId="5" fillId="0" borderId="0" xfId="0" applyFont="1" applyFill="1"/>
    <xf numFmtId="0" fontId="0" fillId="0" borderId="0" xfId="0" applyFill="1"/>
    <xf numFmtId="164" fontId="0" fillId="0" borderId="0" xfId="0" applyNumberFormat="1"/>
    <xf numFmtId="0" fontId="2" fillId="0" borderId="9" xfId="0" applyFont="1" applyFill="1" applyBorder="1"/>
    <xf numFmtId="0" fontId="0" fillId="0" borderId="9" xfId="0" applyBorder="1"/>
    <xf numFmtId="1" fontId="0" fillId="0" borderId="9" xfId="0" applyNumberFormat="1" applyFill="1" applyBorder="1"/>
    <xf numFmtId="165" fontId="0" fillId="0" borderId="9" xfId="0" applyNumberFormat="1" applyFill="1" applyBorder="1"/>
    <xf numFmtId="10" fontId="0" fillId="0" borderId="9" xfId="1" applyNumberFormat="1" applyFont="1" applyBorder="1"/>
    <xf numFmtId="165" fontId="4" fillId="0" borderId="9" xfId="0" applyNumberFormat="1" applyFont="1" applyBorder="1" applyAlignment="1">
      <alignment horizontal="right"/>
    </xf>
    <xf numFmtId="10" fontId="0" fillId="0" borderId="0" xfId="0" applyNumberFormat="1"/>
    <xf numFmtId="164" fontId="5" fillId="2" borderId="0" xfId="1" applyNumberFormat="1" applyFont="1" applyFill="1" applyAlignment="1">
      <alignment horizontal="center"/>
    </xf>
    <xf numFmtId="0" fontId="2" fillId="0" borderId="4" xfId="0" applyFont="1" applyFill="1" applyBorder="1"/>
    <xf numFmtId="1" fontId="4" fillId="0" borderId="5" xfId="0" applyNumberFormat="1" applyFont="1" applyFill="1" applyBorder="1" applyAlignment="1">
      <alignment horizontal="right"/>
    </xf>
    <xf numFmtId="0" fontId="2" fillId="3" borderId="0" xfId="0" applyFont="1" applyFill="1"/>
    <xf numFmtId="0" fontId="2" fillId="4" borderId="0" xfId="0" applyFont="1" applyFill="1"/>
    <xf numFmtId="0" fontId="2" fillId="0" borderId="0" xfId="0" applyFont="1" applyFill="1" applyBorder="1"/>
    <xf numFmtId="1" fontId="4" fillId="0" borderId="0" xfId="0" applyNumberFormat="1" applyFont="1" applyFill="1" applyBorder="1" applyAlignment="1">
      <alignment horizontal="right"/>
    </xf>
    <xf numFmtId="9" fontId="0" fillId="0" borderId="0" xfId="1" applyFont="1" applyFill="1" applyBorder="1"/>
    <xf numFmtId="0" fontId="2" fillId="0" borderId="6" xfId="0" applyFont="1" applyFill="1" applyBorder="1"/>
    <xf numFmtId="1" fontId="4" fillId="0" borderId="7" xfId="0" applyNumberFormat="1" applyFont="1" applyFill="1" applyBorder="1" applyAlignment="1">
      <alignment horizontal="right"/>
    </xf>
    <xf numFmtId="2" fontId="0" fillId="0" borderId="6" xfId="0" applyNumberFormat="1" applyFill="1" applyBorder="1"/>
    <xf numFmtId="2" fontId="0" fillId="0" borderId="5" xfId="0" applyNumberFormat="1" applyBorder="1"/>
    <xf numFmtId="0" fontId="0" fillId="0" borderId="0" xfId="0" applyFill="1" applyBorder="1"/>
    <xf numFmtId="2" fontId="0" fillId="0" borderId="1" xfId="0" applyNumberFormat="1" applyFill="1" applyBorder="1"/>
    <xf numFmtId="2" fontId="0" fillId="0" borderId="7" xfId="0" applyNumberFormat="1" applyBorder="1"/>
    <xf numFmtId="9" fontId="5" fillId="5" borderId="0" xfId="1" applyFont="1" applyFill="1" applyAlignment="1">
      <alignment horizontal="center"/>
    </xf>
    <xf numFmtId="164" fontId="2" fillId="3" borderId="0" xfId="0" applyNumberFormat="1" applyFont="1" applyFill="1" applyAlignment="1">
      <alignment horizontal="center"/>
    </xf>
    <xf numFmtId="164" fontId="2" fillId="4" borderId="0" xfId="0" applyNumberFormat="1" applyFont="1" applyFill="1" applyBorder="1" applyAlignment="1">
      <alignment horizontal="center"/>
    </xf>
    <xf numFmtId="2" fontId="2" fillId="0" borderId="10" xfId="0" applyNumberFormat="1" applyFont="1" applyFill="1" applyBorder="1"/>
    <xf numFmtId="164" fontId="2" fillId="0" borderId="10" xfId="0" applyNumberFormat="1" applyFont="1" applyFill="1" applyBorder="1"/>
    <xf numFmtId="9" fontId="5" fillId="6" borderId="0" xfId="1" applyFont="1" applyFill="1" applyAlignment="1">
      <alignment horizontal="center"/>
    </xf>
    <xf numFmtId="0" fontId="2" fillId="0" borderId="11" xfId="0" applyFont="1" applyFill="1" applyBorder="1"/>
    <xf numFmtId="1" fontId="4" fillId="0" borderId="0" xfId="0" applyNumberFormat="1" applyFont="1" applyBorder="1" applyAlignment="1">
      <alignment horizontal="left"/>
    </xf>
    <xf numFmtId="1" fontId="5" fillId="0" borderId="9" xfId="0" applyNumberFormat="1" applyFont="1" applyBorder="1" applyAlignment="1">
      <alignment horizontal="right"/>
    </xf>
    <xf numFmtId="1" fontId="5" fillId="0" borderId="9" xfId="0" applyNumberFormat="1" applyFont="1" applyBorder="1" applyAlignment="1">
      <alignment horizontal="left"/>
    </xf>
    <xf numFmtId="2" fontId="0" fillId="0" borderId="9" xfId="0" applyNumberFormat="1" applyFont="1" applyFill="1" applyBorder="1"/>
    <xf numFmtId="166" fontId="0" fillId="0" borderId="9" xfId="0" applyNumberFormat="1" applyBorder="1"/>
    <xf numFmtId="166" fontId="0" fillId="0" borderId="0" xfId="0" applyNumberFormat="1" applyFill="1" applyBorder="1" applyAlignment="1">
      <alignment horizontal="left"/>
    </xf>
    <xf numFmtId="166" fontId="0" fillId="0" borderId="0" xfId="0" applyNumberFormat="1" applyFill="1" applyBorder="1"/>
    <xf numFmtId="2" fontId="0" fillId="0" borderId="3" xfId="0" applyNumberFormat="1" applyBorder="1"/>
    <xf numFmtId="9" fontId="0" fillId="0" borderId="0" xfId="1" applyFont="1" applyAlignment="1">
      <alignment horizontal="center"/>
    </xf>
    <xf numFmtId="0" fontId="2" fillId="7" borderId="0" xfId="0" applyFont="1" applyFill="1"/>
    <xf numFmtId="164" fontId="2" fillId="7" borderId="0" xfId="1" applyNumberFormat="1" applyFont="1" applyFill="1" applyBorder="1" applyAlignment="1">
      <alignment horizontal="center"/>
    </xf>
    <xf numFmtId="164" fontId="2" fillId="7" borderId="0" xfId="0" applyNumberFormat="1" applyFont="1" applyFill="1" applyBorder="1" applyAlignment="1">
      <alignment horizontal="center"/>
    </xf>
    <xf numFmtId="0" fontId="0" fillId="7" borderId="0" xfId="0" applyFill="1"/>
    <xf numFmtId="0" fontId="0" fillId="0" borderId="12" xfId="0" applyBorder="1"/>
    <xf numFmtId="0" fontId="0" fillId="0" borderId="0" xfId="0" applyBorder="1"/>
    <xf numFmtId="0" fontId="0" fillId="0" borderId="6" xfId="0" applyBorder="1"/>
    <xf numFmtId="0" fontId="0" fillId="0" borderId="13" xfId="0" applyBorder="1"/>
    <xf numFmtId="0" fontId="0" fillId="0" borderId="7" xfId="0" applyBorder="1"/>
    <xf numFmtId="0" fontId="0" fillId="8" borderId="14" xfId="0" applyFill="1" applyBorder="1"/>
    <xf numFmtId="0" fontId="0" fillId="8" borderId="15" xfId="0" applyFill="1" applyBorder="1"/>
    <xf numFmtId="0" fontId="0" fillId="8" borderId="16" xfId="0" applyFill="1" applyBorder="1"/>
    <xf numFmtId="10" fontId="0" fillId="8" borderId="16" xfId="1" applyNumberFormat="1" applyFont="1" applyFill="1" applyBorder="1"/>
    <xf numFmtId="10" fontId="0" fillId="8" borderId="17" xfId="1" applyNumberFormat="1" applyFont="1" applyFill="1" applyBorder="1"/>
    <xf numFmtId="0" fontId="0" fillId="8" borderId="0" xfId="0" applyFill="1" applyBorder="1"/>
    <xf numFmtId="10" fontId="0" fillId="8" borderId="0" xfId="0" applyNumberFormat="1" applyFill="1" applyBorder="1"/>
    <xf numFmtId="10" fontId="0" fillId="8" borderId="10" xfId="0" applyNumberFormat="1" applyFill="1" applyBorder="1"/>
    <xf numFmtId="10" fontId="0" fillId="0" borderId="4" xfId="1" applyNumberFormat="1" applyFont="1" applyBorder="1"/>
    <xf numFmtId="10" fontId="0" fillId="0" borderId="0" xfId="1" applyNumberFormat="1" applyFont="1" applyBorder="1"/>
    <xf numFmtId="10" fontId="0" fillId="0" borderId="6" xfId="1" applyNumberFormat="1" applyFont="1" applyBorder="1"/>
    <xf numFmtId="10" fontId="0" fillId="0" borderId="13" xfId="1" applyNumberFormat="1" applyFont="1" applyBorder="1"/>
    <xf numFmtId="0" fontId="2" fillId="0" borderId="5" xfId="0" applyFont="1" applyBorder="1"/>
    <xf numFmtId="0" fontId="2" fillId="0" borderId="7" xfId="0" applyFont="1" applyBorder="1"/>
    <xf numFmtId="0" fontId="2" fillId="0" borderId="0" xfId="0" applyFont="1"/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9" fontId="0" fillId="0" borderId="5" xfId="1" applyFont="1" applyBorder="1"/>
    <xf numFmtId="9" fontId="0" fillId="0" borderId="11" xfId="1" applyFont="1" applyBorder="1"/>
    <xf numFmtId="9" fontId="0" fillId="0" borderId="0" xfId="1" applyFont="1" applyBorder="1"/>
    <xf numFmtId="0" fontId="2" fillId="0" borderId="0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colors>
    <mruColors>
      <color rgb="FFCC0000"/>
      <color rgb="FFFF9933"/>
      <color rgb="FFF7AF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3"/>
  <sheetViews>
    <sheetView workbookViewId="0">
      <selection activeCell="C12" sqref="C12"/>
    </sheetView>
  </sheetViews>
  <sheetFormatPr baseColWidth="10" defaultRowHeight="14.4" x14ac:dyDescent="0.3"/>
  <cols>
    <col min="2" max="2" width="24.109375" customWidth="1"/>
    <col min="3" max="3" width="11.44140625" customWidth="1"/>
    <col min="4" max="4" width="15.109375" customWidth="1"/>
    <col min="5" max="5" width="13.33203125" customWidth="1"/>
    <col min="6" max="6" width="11.44140625" customWidth="1"/>
    <col min="7" max="7" width="16" customWidth="1"/>
    <col min="8" max="8" width="13" customWidth="1"/>
    <col min="9" max="9" width="15.44140625" customWidth="1"/>
    <col min="11" max="11" width="11.44140625" customWidth="1"/>
    <col min="13" max="13" width="13.5546875" customWidth="1"/>
  </cols>
  <sheetData>
    <row r="2" spans="1:16" x14ac:dyDescent="0.3">
      <c r="B2" s="1" t="s">
        <v>0</v>
      </c>
    </row>
    <row r="4" spans="1:16" x14ac:dyDescent="0.3">
      <c r="B4" s="15" t="s">
        <v>1</v>
      </c>
      <c r="C4" s="16" t="s">
        <v>4</v>
      </c>
      <c r="E4" s="23" t="s">
        <v>19</v>
      </c>
      <c r="F4" s="23" t="s">
        <v>21</v>
      </c>
      <c r="G4" s="23" t="s">
        <v>22</v>
      </c>
      <c r="H4" s="23" t="s">
        <v>23</v>
      </c>
      <c r="I4" s="57" t="s">
        <v>47</v>
      </c>
      <c r="J4" s="29" t="s">
        <v>32</v>
      </c>
      <c r="K4" s="29" t="s">
        <v>31</v>
      </c>
      <c r="L4" s="30"/>
      <c r="M4" s="29" t="s">
        <v>33</v>
      </c>
      <c r="O4" s="27"/>
    </row>
    <row r="5" spans="1:16" x14ac:dyDescent="0.3">
      <c r="B5" s="14" t="s">
        <v>2</v>
      </c>
      <c r="C5" s="7">
        <v>207.94398670000001</v>
      </c>
      <c r="D5" s="2"/>
      <c r="E5" s="24" t="s">
        <v>18</v>
      </c>
      <c r="F5" s="22">
        <v>31.952000000000002</v>
      </c>
      <c r="G5">
        <v>35.389000000000003</v>
      </c>
      <c r="H5" s="22">
        <v>32.283000000000001</v>
      </c>
      <c r="I5" s="63">
        <f>H5-F5</f>
        <v>0.33099999999999952</v>
      </c>
      <c r="J5" s="31">
        <v>0</v>
      </c>
      <c r="K5" s="91">
        <v>207.94399999999999</v>
      </c>
      <c r="L5" s="92"/>
      <c r="M5" s="30"/>
    </row>
    <row r="6" spans="1:16" x14ac:dyDescent="0.3">
      <c r="B6" s="14" t="s">
        <v>3</v>
      </c>
      <c r="C6" s="7">
        <v>40.667526520000003</v>
      </c>
      <c r="D6" s="2" t="s">
        <v>50</v>
      </c>
      <c r="E6" s="24" t="s">
        <v>20</v>
      </c>
      <c r="F6" s="22">
        <v>115.836</v>
      </c>
      <c r="G6" s="22">
        <v>120.294</v>
      </c>
      <c r="H6" s="22">
        <v>116.605</v>
      </c>
      <c r="I6" s="63">
        <f>H6-F6</f>
        <v>0.76900000000000546</v>
      </c>
      <c r="J6" s="32">
        <v>0.3</v>
      </c>
      <c r="K6" s="93">
        <v>182.93799999999999</v>
      </c>
      <c r="L6" s="94"/>
      <c r="M6" s="33">
        <f>1-K6/K5</f>
        <v>0.12025352979648363</v>
      </c>
      <c r="N6" t="s">
        <v>34</v>
      </c>
      <c r="O6" s="35">
        <f>M6/M7</f>
        <v>0.14948857284623704</v>
      </c>
      <c r="P6" t="s">
        <v>35</v>
      </c>
    </row>
    <row r="7" spans="1:16" x14ac:dyDescent="0.3">
      <c r="B7" s="14" t="s">
        <v>5</v>
      </c>
      <c r="C7" s="8">
        <v>31600</v>
      </c>
      <c r="D7" s="3"/>
      <c r="E7" s="3"/>
      <c r="F7" s="3"/>
      <c r="G7" s="3"/>
      <c r="H7" s="3"/>
      <c r="I7" s="58"/>
      <c r="J7" s="34">
        <v>96</v>
      </c>
      <c r="K7" s="91">
        <v>40.667000000000002</v>
      </c>
      <c r="L7" s="92"/>
      <c r="M7" s="33">
        <f>1-K7/K5</f>
        <v>0.80443292424883617</v>
      </c>
    </row>
    <row r="8" spans="1:16" x14ac:dyDescent="0.3">
      <c r="B8" s="14" t="s">
        <v>6</v>
      </c>
      <c r="C8" s="8">
        <v>6180</v>
      </c>
      <c r="D8" s="3"/>
      <c r="E8" s="60" t="s">
        <v>19</v>
      </c>
      <c r="F8" s="59" t="s">
        <v>51</v>
      </c>
      <c r="G8" s="59" t="s">
        <v>52</v>
      </c>
      <c r="H8" s="59" t="s">
        <v>54</v>
      </c>
      <c r="I8" s="60" t="s">
        <v>47</v>
      </c>
      <c r="J8" s="3"/>
    </row>
    <row r="9" spans="1:16" x14ac:dyDescent="0.3">
      <c r="B9" s="13" t="s">
        <v>7</v>
      </c>
      <c r="C9" s="9">
        <f>C7*0.25</f>
        <v>7900</v>
      </c>
      <c r="E9" s="23" t="s">
        <v>18</v>
      </c>
      <c r="F9" s="30">
        <v>8.1489999999999991</v>
      </c>
      <c r="G9" s="61">
        <v>8.4710000000000001</v>
      </c>
      <c r="H9" s="30">
        <v>8.173</v>
      </c>
      <c r="I9" s="62">
        <f>G9-F9</f>
        <v>0.32200000000000095</v>
      </c>
    </row>
    <row r="10" spans="1:16" x14ac:dyDescent="0.3">
      <c r="B10" s="13" t="s">
        <v>8</v>
      </c>
      <c r="C10" s="9">
        <f>C8*0.25</f>
        <v>1545</v>
      </c>
      <c r="E10" s="23" t="s">
        <v>20</v>
      </c>
      <c r="F10" s="30">
        <v>8.4610000000000003</v>
      </c>
      <c r="G10" s="30">
        <v>9.2319999999999993</v>
      </c>
      <c r="H10" s="30">
        <v>8.5060000000000002</v>
      </c>
      <c r="I10" s="30">
        <f>G10-F10</f>
        <v>0.77099999999999902</v>
      </c>
    </row>
    <row r="11" spans="1:16" x14ac:dyDescent="0.3">
      <c r="B11" s="13" t="s">
        <v>9</v>
      </c>
      <c r="C11" s="9">
        <f>C9-C10</f>
        <v>6355</v>
      </c>
    </row>
    <row r="12" spans="1:16" x14ac:dyDescent="0.3">
      <c r="B12" s="14" t="s">
        <v>73</v>
      </c>
      <c r="C12" s="95">
        <f>C11/C9</f>
        <v>0.8044303797468354</v>
      </c>
      <c r="D12" t="s">
        <v>55</v>
      </c>
      <c r="E12" s="23" t="s">
        <v>19</v>
      </c>
      <c r="F12" s="23" t="s">
        <v>58</v>
      </c>
      <c r="G12" s="23" t="s">
        <v>59</v>
      </c>
      <c r="H12" s="23" t="s">
        <v>60</v>
      </c>
      <c r="I12" s="23" t="s">
        <v>47</v>
      </c>
    </row>
    <row r="13" spans="1:16" x14ac:dyDescent="0.3">
      <c r="B13" s="13"/>
      <c r="C13" s="9"/>
      <c r="E13" s="29" t="s">
        <v>56</v>
      </c>
      <c r="F13" s="30">
        <v>49.994</v>
      </c>
      <c r="G13" s="30">
        <v>54.91</v>
      </c>
      <c r="H13" s="30">
        <v>50.488999999999997</v>
      </c>
      <c r="I13" s="30">
        <f>H13-F13</f>
        <v>0.49499999999999744</v>
      </c>
    </row>
    <row r="14" spans="1:16" x14ac:dyDescent="0.3">
      <c r="B14" s="13"/>
      <c r="C14" s="9"/>
      <c r="E14" s="29" t="s">
        <v>57</v>
      </c>
      <c r="F14" s="30">
        <v>8.109</v>
      </c>
      <c r="G14" s="30">
        <v>8.64</v>
      </c>
      <c r="H14" s="30">
        <v>8.1</v>
      </c>
      <c r="I14" s="30">
        <f>G14-F14</f>
        <v>0.53100000000000058</v>
      </c>
    </row>
    <row r="15" spans="1:16" x14ac:dyDescent="0.3">
      <c r="B15" s="13"/>
      <c r="C15" s="9"/>
      <c r="E15" s="41"/>
    </row>
    <row r="16" spans="1:16" x14ac:dyDescent="0.3">
      <c r="A16" t="s">
        <v>41</v>
      </c>
      <c r="B16" s="11"/>
      <c r="C16" s="12"/>
      <c r="D16" t="s">
        <v>36</v>
      </c>
      <c r="E16" t="s">
        <v>16</v>
      </c>
      <c r="K16" t="s">
        <v>30</v>
      </c>
    </row>
    <row r="17" spans="1:11" x14ac:dyDescent="0.3">
      <c r="A17">
        <v>5</v>
      </c>
      <c r="B17" s="13" t="s">
        <v>10</v>
      </c>
      <c r="C17" s="8">
        <v>4760</v>
      </c>
      <c r="D17" s="4">
        <f>C17*0.05</f>
        <v>238</v>
      </c>
      <c r="E17" s="5">
        <f>C11-D17</f>
        <v>6117</v>
      </c>
      <c r="F17" s="36">
        <f>D17/C11</f>
        <v>3.7450826121164439E-2</v>
      </c>
      <c r="G17" s="18" t="s">
        <v>17</v>
      </c>
      <c r="H17" s="20"/>
      <c r="J17" s="21">
        <f>E17/$C$11</f>
        <v>0.96254917387883554</v>
      </c>
    </row>
    <row r="18" spans="1:11" x14ac:dyDescent="0.3">
      <c r="A18">
        <v>7.5</v>
      </c>
      <c r="B18" s="13" t="s">
        <v>11</v>
      </c>
      <c r="C18" s="8">
        <v>77500</v>
      </c>
      <c r="D18" s="6">
        <f>C18*0.025</f>
        <v>1937.5</v>
      </c>
      <c r="E18" s="9">
        <f t="shared" ref="E18:E28" si="0">E17-D18</f>
        <v>4179.5</v>
      </c>
      <c r="F18" s="19"/>
      <c r="J18" s="21">
        <f>E18/$C$11</f>
        <v>0.6576711250983478</v>
      </c>
    </row>
    <row r="19" spans="1:11" x14ac:dyDescent="0.3">
      <c r="A19">
        <v>10</v>
      </c>
      <c r="B19" s="13" t="s">
        <v>12</v>
      </c>
      <c r="C19" s="8">
        <v>36800</v>
      </c>
      <c r="D19" s="6">
        <f>C19*0.025</f>
        <v>920</v>
      </c>
      <c r="E19" s="9">
        <f t="shared" si="0"/>
        <v>3259.5</v>
      </c>
      <c r="F19" s="19"/>
      <c r="J19" s="21">
        <f>E19/$C$11</f>
        <v>0.51290322580645165</v>
      </c>
      <c r="K19" s="28">
        <f>J18-J19</f>
        <v>0.14476789929189615</v>
      </c>
    </row>
    <row r="20" spans="1:11" x14ac:dyDescent="0.3">
      <c r="A20">
        <v>12.5</v>
      </c>
      <c r="B20" s="13" t="s">
        <v>13</v>
      </c>
      <c r="C20" s="8">
        <v>18000</v>
      </c>
      <c r="D20" s="6">
        <f>C20*0.025</f>
        <v>450</v>
      </c>
      <c r="E20" s="9">
        <f t="shared" si="0"/>
        <v>2809.5</v>
      </c>
      <c r="F20" s="19"/>
      <c r="J20" s="21">
        <f>E20/$C$11</f>
        <v>0.44209284028324153</v>
      </c>
      <c r="K20" s="28">
        <f t="shared" ref="K20:K27" si="1">J19-J20</f>
        <v>7.0810385523210118E-2</v>
      </c>
    </row>
    <row r="21" spans="1:11" x14ac:dyDescent="0.3">
      <c r="A21">
        <v>15</v>
      </c>
      <c r="B21" s="13" t="s">
        <v>14</v>
      </c>
      <c r="C21" s="8">
        <v>8620</v>
      </c>
      <c r="D21" s="6">
        <f t="shared" ref="D21:D26" si="2">C21*0.025</f>
        <v>215.5</v>
      </c>
      <c r="E21" s="9">
        <f t="shared" si="0"/>
        <v>2594</v>
      </c>
      <c r="F21" s="19"/>
      <c r="J21" s="21">
        <f t="shared" ref="J21:J28" si="3">E21/$C$11</f>
        <v>0.40818253343823763</v>
      </c>
      <c r="K21" s="28">
        <f t="shared" si="1"/>
        <v>3.3910306845003901E-2</v>
      </c>
    </row>
    <row r="22" spans="1:11" x14ac:dyDescent="0.3">
      <c r="A22">
        <v>17.5</v>
      </c>
      <c r="B22" s="13" t="s">
        <v>15</v>
      </c>
      <c r="C22" s="8">
        <v>6090</v>
      </c>
      <c r="D22" s="6">
        <f>C22*0.025</f>
        <v>152.25</v>
      </c>
      <c r="E22" s="9">
        <f t="shared" si="0"/>
        <v>2441.75</v>
      </c>
      <c r="F22" s="25"/>
      <c r="G22" s="26"/>
      <c r="H22" s="27"/>
      <c r="J22" s="21">
        <f t="shared" si="3"/>
        <v>0.38422501966955153</v>
      </c>
      <c r="K22" s="28">
        <f t="shared" si="1"/>
        <v>2.3957513768686101E-2</v>
      </c>
    </row>
    <row r="23" spans="1:11" x14ac:dyDescent="0.3">
      <c r="A23">
        <v>20</v>
      </c>
      <c r="B23" s="13" t="s">
        <v>24</v>
      </c>
      <c r="C23" s="10">
        <v>3500</v>
      </c>
      <c r="D23" s="6">
        <f t="shared" si="2"/>
        <v>87.5</v>
      </c>
      <c r="E23" s="9">
        <f t="shared" si="0"/>
        <v>2354.25</v>
      </c>
      <c r="F23" s="19"/>
      <c r="J23" s="21">
        <f t="shared" si="3"/>
        <v>0.37045633359559405</v>
      </c>
      <c r="K23" s="28">
        <f t="shared" si="1"/>
        <v>1.3768686073957481E-2</v>
      </c>
    </row>
    <row r="24" spans="1:11" x14ac:dyDescent="0.3">
      <c r="A24">
        <v>22.5</v>
      </c>
      <c r="B24" s="13" t="s">
        <v>25</v>
      </c>
      <c r="C24" s="8">
        <v>3430</v>
      </c>
      <c r="D24" s="17">
        <f>C24*0.025</f>
        <v>85.75</v>
      </c>
      <c r="E24" s="47">
        <f t="shared" si="0"/>
        <v>2268.5</v>
      </c>
      <c r="F24" s="19"/>
      <c r="J24" s="21">
        <f t="shared" si="3"/>
        <v>0.35696302124311563</v>
      </c>
      <c r="K24" s="28">
        <f t="shared" si="1"/>
        <v>1.3493312352478415E-2</v>
      </c>
    </row>
    <row r="25" spans="1:11" x14ac:dyDescent="0.3">
      <c r="A25">
        <v>25</v>
      </c>
      <c r="B25" s="13" t="s">
        <v>26</v>
      </c>
      <c r="C25" s="8">
        <v>2010</v>
      </c>
      <c r="D25" s="17">
        <f>C25*0.025</f>
        <v>50.25</v>
      </c>
      <c r="E25" s="47">
        <f t="shared" si="0"/>
        <v>2218.25</v>
      </c>
      <c r="F25" s="19"/>
      <c r="J25" s="21">
        <f t="shared" si="3"/>
        <v>0.3490558615263572</v>
      </c>
      <c r="K25" s="28">
        <f t="shared" si="1"/>
        <v>7.9071597167584273E-3</v>
      </c>
    </row>
    <row r="26" spans="1:11" x14ac:dyDescent="0.3">
      <c r="A26">
        <v>27.5</v>
      </c>
      <c r="B26" s="13" t="s">
        <v>27</v>
      </c>
      <c r="C26" s="8">
        <v>2770</v>
      </c>
      <c r="D26" s="17">
        <f t="shared" si="2"/>
        <v>69.25</v>
      </c>
      <c r="E26" s="47">
        <f t="shared" si="0"/>
        <v>2149</v>
      </c>
      <c r="F26" s="19"/>
      <c r="J26" s="21">
        <f t="shared" si="3"/>
        <v>0.33815892997639652</v>
      </c>
      <c r="K26" s="28">
        <f t="shared" si="1"/>
        <v>1.0896931549960687E-2</v>
      </c>
    </row>
    <row r="27" spans="1:11" x14ac:dyDescent="0.3">
      <c r="A27">
        <v>30</v>
      </c>
      <c r="B27" s="13" t="s">
        <v>28</v>
      </c>
      <c r="C27" s="8">
        <v>2060</v>
      </c>
      <c r="D27" s="17">
        <f>C27*0.025</f>
        <v>51.5</v>
      </c>
      <c r="E27" s="47">
        <f t="shared" si="0"/>
        <v>2097.5</v>
      </c>
      <c r="F27" s="19"/>
      <c r="J27" s="21">
        <f>E27/$C$11</f>
        <v>0.33005507474429585</v>
      </c>
      <c r="K27" s="28">
        <f t="shared" si="1"/>
        <v>8.1038552321006652E-3</v>
      </c>
    </row>
    <row r="28" spans="1:11" x14ac:dyDescent="0.3">
      <c r="A28">
        <v>90</v>
      </c>
      <c r="B28" s="13" t="s">
        <v>29</v>
      </c>
      <c r="C28" s="8">
        <v>8300</v>
      </c>
      <c r="D28" s="17">
        <f t="shared" ref="D28" si="4">C28*0.025</f>
        <v>207.5</v>
      </c>
      <c r="E28" s="47">
        <f t="shared" si="0"/>
        <v>1890</v>
      </c>
      <c r="F28" s="56">
        <f>(SUM(D18:D28)/C11)</f>
        <v>0.66514555468135328</v>
      </c>
      <c r="J28" s="21">
        <f t="shared" si="3"/>
        <v>0.29740361919748232</v>
      </c>
      <c r="K28" s="28">
        <f>J27-J28</f>
        <v>3.2651455546813535E-2</v>
      </c>
    </row>
    <row r="29" spans="1:11" x14ac:dyDescent="0.3">
      <c r="B29" s="37" t="s">
        <v>39</v>
      </c>
      <c r="C29" s="38">
        <v>52900</v>
      </c>
      <c r="D29" s="49">
        <f>C29*0.01</f>
        <v>529</v>
      </c>
      <c r="E29" s="65">
        <f>E28-D29</f>
        <v>1361</v>
      </c>
      <c r="F29" s="52">
        <f>K29</f>
        <v>8.3241542092840293E-2</v>
      </c>
      <c r="G29" s="39" t="s">
        <v>37</v>
      </c>
      <c r="H29" s="39"/>
      <c r="J29" s="21">
        <f>E29/$C$11</f>
        <v>0.21416207710464202</v>
      </c>
      <c r="K29" s="28">
        <f>J28-J29</f>
        <v>8.3241542092840293E-2</v>
      </c>
    </row>
    <row r="30" spans="1:11" x14ac:dyDescent="0.3">
      <c r="B30" s="44" t="s">
        <v>40</v>
      </c>
      <c r="C30" s="45">
        <v>4030</v>
      </c>
      <c r="D30" s="46">
        <f>C30*0.01</f>
        <v>40.300000000000004</v>
      </c>
      <c r="E30" s="50">
        <f>E29-D30</f>
        <v>1320.7</v>
      </c>
      <c r="F30" s="53">
        <f>K30</f>
        <v>6.341463414634152E-3</v>
      </c>
      <c r="G30" s="40" t="s">
        <v>38</v>
      </c>
      <c r="H30" s="40"/>
      <c r="J30" s="21">
        <f>E30/$C$11</f>
        <v>0.20782061369000787</v>
      </c>
      <c r="K30" s="28">
        <f>J29-J30</f>
        <v>6.341463414634152E-3</v>
      </c>
    </row>
    <row r="31" spans="1:11" x14ac:dyDescent="0.3">
      <c r="B31" s="41" t="s">
        <v>61</v>
      </c>
      <c r="C31" s="42">
        <v>55200</v>
      </c>
      <c r="D31" s="27">
        <f>C31*0.01</f>
        <v>552</v>
      </c>
      <c r="E31" s="50">
        <f>E30-D31</f>
        <v>768.7</v>
      </c>
      <c r="F31" s="68">
        <f>K31</f>
        <v>8.686073957513768E-2</v>
      </c>
      <c r="G31" s="67" t="s">
        <v>61</v>
      </c>
      <c r="H31" s="27"/>
      <c r="I31" s="27"/>
      <c r="J31" s="21">
        <f>E31/$C$11</f>
        <v>0.12095987411487019</v>
      </c>
      <c r="K31" s="28">
        <f>J30-J31</f>
        <v>8.686073957513768E-2</v>
      </c>
    </row>
    <row r="32" spans="1:11" ht="15" thickBot="1" x14ac:dyDescent="0.35">
      <c r="B32" s="27"/>
      <c r="C32" s="27"/>
      <c r="D32" s="27"/>
      <c r="E32" s="54" t="s">
        <v>16</v>
      </c>
      <c r="F32" s="55">
        <f>1-SUM(F17:F31)</f>
        <v>0.12095987411487008</v>
      </c>
      <c r="G32" s="27"/>
      <c r="H32" s="27"/>
      <c r="I32" s="27"/>
      <c r="J32" s="27"/>
    </row>
    <row r="33" spans="4:4" x14ac:dyDescent="0.3">
      <c r="D33">
        <f>SUM(D17:D28)</f>
        <v>4465</v>
      </c>
    </row>
  </sheetData>
  <mergeCells count="3">
    <mergeCell ref="K5:L5"/>
    <mergeCell ref="K6:L6"/>
    <mergeCell ref="K7:L7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3"/>
  <sheetViews>
    <sheetView topLeftCell="A4" workbookViewId="0">
      <selection activeCell="C12" sqref="C12"/>
    </sheetView>
  </sheetViews>
  <sheetFormatPr baseColWidth="10" defaultRowHeight="14.4" x14ac:dyDescent="0.3"/>
  <cols>
    <col min="2" max="2" width="24.109375" customWidth="1"/>
    <col min="3" max="3" width="11.44140625" customWidth="1"/>
    <col min="4" max="4" width="12.5546875" customWidth="1"/>
    <col min="5" max="6" width="11.44140625" customWidth="1"/>
    <col min="7" max="7" width="16" customWidth="1"/>
  </cols>
  <sheetData>
    <row r="2" spans="1:16" x14ac:dyDescent="0.3">
      <c r="B2" s="1" t="s">
        <v>0</v>
      </c>
    </row>
    <row r="4" spans="1:16" x14ac:dyDescent="0.3">
      <c r="B4" s="15" t="s">
        <v>1</v>
      </c>
      <c r="C4" s="16" t="s">
        <v>42</v>
      </c>
      <c r="E4" s="23" t="s">
        <v>19</v>
      </c>
      <c r="F4" s="23" t="s">
        <v>21</v>
      </c>
      <c r="G4" s="23" t="s">
        <v>22</v>
      </c>
      <c r="H4" s="23" t="s">
        <v>23</v>
      </c>
      <c r="I4" s="57" t="s">
        <v>47</v>
      </c>
      <c r="J4" s="29" t="s">
        <v>32</v>
      </c>
      <c r="K4" s="29" t="s">
        <v>31</v>
      </c>
      <c r="L4" s="30"/>
      <c r="M4" s="29" t="s">
        <v>33</v>
      </c>
      <c r="O4" s="27"/>
    </row>
    <row r="5" spans="1:16" x14ac:dyDescent="0.3">
      <c r="B5" s="14" t="s">
        <v>2</v>
      </c>
      <c r="C5" s="7">
        <v>186.8863678239583</v>
      </c>
      <c r="D5" s="2"/>
      <c r="E5" s="24" t="s">
        <v>18</v>
      </c>
      <c r="F5" s="22">
        <v>19.282</v>
      </c>
      <c r="G5">
        <v>21.085999999999999</v>
      </c>
      <c r="H5" s="22">
        <v>19.425000000000001</v>
      </c>
      <c r="I5" s="63">
        <f>H5-F5</f>
        <v>0.14300000000000068</v>
      </c>
      <c r="J5" s="31">
        <v>0</v>
      </c>
      <c r="K5" s="91">
        <v>186.886</v>
      </c>
      <c r="L5" s="92"/>
      <c r="M5" s="30"/>
    </row>
    <row r="6" spans="1:16" x14ac:dyDescent="0.3">
      <c r="B6" s="14" t="s">
        <v>3</v>
      </c>
      <c r="C6" s="7">
        <v>70.411413229449082</v>
      </c>
      <c r="D6" s="2"/>
      <c r="E6" s="24" t="s">
        <v>20</v>
      </c>
      <c r="F6" s="22">
        <v>93.111999999999995</v>
      </c>
      <c r="G6" s="22">
        <v>95.188000000000002</v>
      </c>
      <c r="H6" s="22">
        <v>93.48</v>
      </c>
      <c r="I6" s="63">
        <f>H6-F6</f>
        <v>0.36800000000000921</v>
      </c>
      <c r="J6" s="32">
        <v>0.3</v>
      </c>
      <c r="K6" s="93">
        <v>177.67400000000001</v>
      </c>
      <c r="L6" s="94"/>
      <c r="M6" s="33">
        <f>1-K6/K5</f>
        <v>4.9292081803880339E-2</v>
      </c>
      <c r="N6" t="s">
        <v>34</v>
      </c>
      <c r="O6" s="35">
        <f>M6/M7</f>
        <v>7.9089933462116166E-2</v>
      </c>
      <c r="P6" t="s">
        <v>35</v>
      </c>
    </row>
    <row r="7" spans="1:16" x14ac:dyDescent="0.3">
      <c r="B7" s="14" t="s">
        <v>5</v>
      </c>
      <c r="C7" s="8">
        <v>28400</v>
      </c>
      <c r="D7" s="3"/>
      <c r="E7" s="3"/>
      <c r="F7" s="3"/>
      <c r="G7" s="3"/>
      <c r="H7" s="3"/>
      <c r="I7" s="3"/>
      <c r="J7" s="34">
        <v>96</v>
      </c>
      <c r="K7" s="91">
        <v>70.411000000000001</v>
      </c>
      <c r="L7" s="92"/>
      <c r="M7" s="33">
        <f>1-K7/K5</f>
        <v>0.62324090622090478</v>
      </c>
    </row>
    <row r="8" spans="1:16" x14ac:dyDescent="0.3">
      <c r="B8" s="14" t="s">
        <v>6</v>
      </c>
      <c r="C8" s="8">
        <v>10700</v>
      </c>
      <c r="D8" s="3"/>
      <c r="E8" s="60" t="s">
        <v>19</v>
      </c>
      <c r="F8" s="59" t="s">
        <v>51</v>
      </c>
      <c r="G8" s="59" t="s">
        <v>52</v>
      </c>
      <c r="H8" s="59" t="s">
        <v>54</v>
      </c>
      <c r="I8" s="60" t="s">
        <v>47</v>
      </c>
      <c r="J8" s="3"/>
    </row>
    <row r="9" spans="1:16" x14ac:dyDescent="0.3">
      <c r="B9" s="13" t="s">
        <v>7</v>
      </c>
      <c r="C9" s="9">
        <f>C7*0.25</f>
        <v>7100</v>
      </c>
      <c r="E9" s="23" t="s">
        <v>18</v>
      </c>
      <c r="F9" s="30"/>
      <c r="G9" s="61">
        <v>8.5079999999999991</v>
      </c>
      <c r="H9" s="30">
        <v>8.3740000000000006</v>
      </c>
      <c r="I9" s="62"/>
    </row>
    <row r="10" spans="1:16" x14ac:dyDescent="0.3">
      <c r="B10" s="13" t="s">
        <v>8</v>
      </c>
      <c r="C10" s="9">
        <f>C8*0.25</f>
        <v>2675</v>
      </c>
      <c r="E10" s="23" t="s">
        <v>20</v>
      </c>
      <c r="F10" s="30">
        <v>10.271000000000001</v>
      </c>
      <c r="G10" s="30">
        <v>10.675000000000001</v>
      </c>
      <c r="H10" s="30">
        <v>10.304</v>
      </c>
      <c r="I10" s="30">
        <f>G10-F10</f>
        <v>0.40399999999999991</v>
      </c>
    </row>
    <row r="11" spans="1:16" x14ac:dyDescent="0.3">
      <c r="B11" s="13" t="s">
        <v>9</v>
      </c>
      <c r="C11" s="9">
        <f>C9-C10</f>
        <v>4425</v>
      </c>
    </row>
    <row r="12" spans="1:16" x14ac:dyDescent="0.3">
      <c r="B12" s="14" t="s">
        <v>73</v>
      </c>
      <c r="C12" s="95">
        <f>C11/C9</f>
        <v>0.62323943661971826</v>
      </c>
      <c r="D12" t="s">
        <v>55</v>
      </c>
      <c r="E12" s="23" t="s">
        <v>19</v>
      </c>
      <c r="F12" s="23" t="s">
        <v>58</v>
      </c>
      <c r="G12" s="23" t="s">
        <v>59</v>
      </c>
      <c r="H12" s="23" t="s">
        <v>60</v>
      </c>
      <c r="I12" s="23" t="s">
        <v>47</v>
      </c>
    </row>
    <row r="13" spans="1:16" x14ac:dyDescent="0.3">
      <c r="B13" s="13"/>
      <c r="C13" s="9"/>
      <c r="E13" s="23" t="s">
        <v>56</v>
      </c>
      <c r="F13" s="30">
        <v>63.145000000000003</v>
      </c>
      <c r="G13" s="30">
        <v>66.033000000000001</v>
      </c>
      <c r="H13" s="30">
        <v>63.665999999999997</v>
      </c>
      <c r="I13" s="30">
        <f>H13-F13</f>
        <v>0.52099999999999369</v>
      </c>
    </row>
    <row r="14" spans="1:16" x14ac:dyDescent="0.3">
      <c r="B14" s="13"/>
      <c r="C14" s="9"/>
      <c r="E14" s="23" t="s">
        <v>57</v>
      </c>
      <c r="F14" s="30">
        <v>10.87</v>
      </c>
      <c r="G14" s="30">
        <v>11.407999999999999</v>
      </c>
      <c r="H14" s="30">
        <v>10.861000000000001</v>
      </c>
      <c r="I14" s="30">
        <f>G14-F14</f>
        <v>0.53800000000000026</v>
      </c>
    </row>
    <row r="15" spans="1:16" x14ac:dyDescent="0.3">
      <c r="B15" s="13"/>
      <c r="C15" s="9"/>
    </row>
    <row r="16" spans="1:16" x14ac:dyDescent="0.3">
      <c r="A16" t="s">
        <v>41</v>
      </c>
      <c r="B16" s="11"/>
      <c r="C16" s="12"/>
      <c r="E16" t="s">
        <v>16</v>
      </c>
      <c r="K16" t="s">
        <v>30</v>
      </c>
    </row>
    <row r="17" spans="1:11" x14ac:dyDescent="0.3">
      <c r="A17">
        <v>5</v>
      </c>
      <c r="B17" s="13" t="s">
        <v>10</v>
      </c>
      <c r="C17" s="8">
        <v>3110</v>
      </c>
      <c r="D17" s="4">
        <f>C17*0.05</f>
        <v>155.5</v>
      </c>
      <c r="E17" s="5">
        <f>C11-D17</f>
        <v>4269.5</v>
      </c>
      <c r="F17" s="36">
        <f>D17/C11</f>
        <v>3.5141242937853111E-2</v>
      </c>
      <c r="G17" s="18" t="s">
        <v>17</v>
      </c>
      <c r="H17" s="20"/>
      <c r="J17" s="21">
        <f>E17/$C$11</f>
        <v>0.96485875706214685</v>
      </c>
    </row>
    <row r="18" spans="1:11" x14ac:dyDescent="0.3">
      <c r="A18">
        <v>7.5</v>
      </c>
      <c r="B18" s="13" t="s">
        <v>11</v>
      </c>
      <c r="C18" s="8">
        <v>49800</v>
      </c>
      <c r="D18" s="6">
        <f t="shared" ref="D18:D26" si="0">C18*0.025</f>
        <v>1245</v>
      </c>
      <c r="E18" s="9">
        <f>E17-D18</f>
        <v>3024.5</v>
      </c>
      <c r="F18" s="19"/>
      <c r="J18" s="21">
        <f>E18/$C$11</f>
        <v>0.68350282485875702</v>
      </c>
    </row>
    <row r="19" spans="1:11" x14ac:dyDescent="0.3">
      <c r="A19">
        <v>10</v>
      </c>
      <c r="B19" s="13" t="s">
        <v>12</v>
      </c>
      <c r="C19" s="8">
        <v>23300</v>
      </c>
      <c r="D19" s="6">
        <f t="shared" si="0"/>
        <v>582.5</v>
      </c>
      <c r="E19" s="9">
        <f>E18-D19</f>
        <v>2442</v>
      </c>
      <c r="F19" s="19"/>
      <c r="J19" s="21">
        <f>E19/$C$11</f>
        <v>0.55186440677966098</v>
      </c>
      <c r="K19" s="28">
        <f>J18-J19</f>
        <v>0.13163841807909604</v>
      </c>
    </row>
    <row r="20" spans="1:11" x14ac:dyDescent="0.3">
      <c r="A20">
        <v>12.5</v>
      </c>
      <c r="B20" s="13" t="s">
        <v>13</v>
      </c>
      <c r="C20" s="8">
        <v>11100</v>
      </c>
      <c r="D20" s="6">
        <f t="shared" si="0"/>
        <v>277.5</v>
      </c>
      <c r="E20" s="9">
        <f>E19-D20</f>
        <v>2164.5</v>
      </c>
      <c r="F20" s="19"/>
      <c r="J20" s="21">
        <f>E20/$C$11</f>
        <v>0.48915254237288136</v>
      </c>
      <c r="K20" s="28">
        <f>J19-J20</f>
        <v>6.2711864406779616E-2</v>
      </c>
    </row>
    <row r="21" spans="1:11" x14ac:dyDescent="0.3">
      <c r="A21">
        <v>15</v>
      </c>
      <c r="B21" s="13" t="s">
        <v>14</v>
      </c>
      <c r="C21" s="8">
        <v>6820</v>
      </c>
      <c r="D21" s="6">
        <f t="shared" si="0"/>
        <v>170.5</v>
      </c>
      <c r="E21" s="9">
        <f>E20-D21</f>
        <v>1994</v>
      </c>
      <c r="F21" s="19"/>
      <c r="J21" s="21">
        <f t="shared" ref="J21:J30" si="1">E21/$C$11</f>
        <v>0.45062146892655369</v>
      </c>
      <c r="K21" s="28">
        <f t="shared" ref="K21:K26" si="2">J20-J21</f>
        <v>3.8531073446327668E-2</v>
      </c>
    </row>
    <row r="22" spans="1:11" x14ac:dyDescent="0.3">
      <c r="A22">
        <v>17.5</v>
      </c>
      <c r="B22" s="13" t="s">
        <v>15</v>
      </c>
      <c r="C22" s="8">
        <v>4200</v>
      </c>
      <c r="D22" s="6">
        <f t="shared" si="0"/>
        <v>105</v>
      </c>
      <c r="E22" s="9">
        <f>E21-D22</f>
        <v>1889</v>
      </c>
      <c r="F22" s="25"/>
      <c r="G22" s="26"/>
      <c r="H22" s="27"/>
      <c r="J22" s="21">
        <f t="shared" si="1"/>
        <v>0.42689265536723164</v>
      </c>
      <c r="K22" s="28">
        <f t="shared" si="2"/>
        <v>2.3728813559322048E-2</v>
      </c>
    </row>
    <row r="23" spans="1:11" x14ac:dyDescent="0.3">
      <c r="A23">
        <v>20</v>
      </c>
      <c r="B23" s="13" t="s">
        <v>24</v>
      </c>
      <c r="C23" s="10">
        <v>2990</v>
      </c>
      <c r="D23" s="6">
        <f t="shared" si="0"/>
        <v>74.75</v>
      </c>
      <c r="E23" s="9">
        <f t="shared" ref="E23:E27" si="3">E22-D23</f>
        <v>1814.25</v>
      </c>
      <c r="F23" s="19"/>
      <c r="J23" s="21">
        <f t="shared" si="1"/>
        <v>0.41</v>
      </c>
      <c r="K23" s="28">
        <f t="shared" si="2"/>
        <v>1.6892655367231668E-2</v>
      </c>
    </row>
    <row r="24" spans="1:11" x14ac:dyDescent="0.3">
      <c r="A24">
        <v>22.5</v>
      </c>
      <c r="B24" s="13" t="s">
        <v>25</v>
      </c>
      <c r="C24" s="8">
        <v>2690</v>
      </c>
      <c r="D24" s="17">
        <f t="shared" si="0"/>
        <v>67.25</v>
      </c>
      <c r="E24" s="9">
        <f t="shared" si="3"/>
        <v>1747</v>
      </c>
      <c r="F24" s="19"/>
      <c r="J24" s="21">
        <f t="shared" si="1"/>
        <v>0.39480225988700562</v>
      </c>
      <c r="K24" s="28">
        <f t="shared" si="2"/>
        <v>1.5197740112994351E-2</v>
      </c>
    </row>
    <row r="25" spans="1:11" x14ac:dyDescent="0.3">
      <c r="A25">
        <v>25</v>
      </c>
      <c r="B25" s="13" t="s">
        <v>26</v>
      </c>
      <c r="C25" s="8">
        <v>1530</v>
      </c>
      <c r="D25" s="17">
        <f t="shared" si="0"/>
        <v>38.25</v>
      </c>
      <c r="E25" s="9">
        <f t="shared" si="3"/>
        <v>1708.75</v>
      </c>
      <c r="F25" s="19"/>
      <c r="J25" s="21">
        <f t="shared" si="1"/>
        <v>0.38615819209039548</v>
      </c>
      <c r="K25" s="28">
        <f t="shared" si="2"/>
        <v>8.6440677966101442E-3</v>
      </c>
    </row>
    <row r="26" spans="1:11" x14ac:dyDescent="0.3">
      <c r="A26">
        <v>27.5</v>
      </c>
      <c r="B26" s="13" t="s">
        <v>27</v>
      </c>
      <c r="C26" s="8">
        <v>1790</v>
      </c>
      <c r="D26" s="17">
        <f t="shared" si="0"/>
        <v>44.75</v>
      </c>
      <c r="E26" s="47">
        <f>E25-D26</f>
        <v>1664</v>
      </c>
      <c r="F26" s="19"/>
      <c r="J26" s="21">
        <f t="shared" si="1"/>
        <v>0.37604519774011297</v>
      </c>
      <c r="K26" s="28">
        <f t="shared" si="2"/>
        <v>1.0112994350282511E-2</v>
      </c>
    </row>
    <row r="27" spans="1:11" x14ac:dyDescent="0.3">
      <c r="A27">
        <v>30</v>
      </c>
      <c r="B27" s="13" t="s">
        <v>28</v>
      </c>
      <c r="C27" s="8">
        <v>1110</v>
      </c>
      <c r="D27" s="17">
        <f t="shared" ref="D27:D28" si="4">C27*0.025</f>
        <v>27.75</v>
      </c>
      <c r="E27" s="9">
        <f t="shared" si="3"/>
        <v>1636.25</v>
      </c>
      <c r="F27" s="19"/>
      <c r="J27" s="21">
        <f t="shared" si="1"/>
        <v>0.36977401129943505</v>
      </c>
      <c r="K27" s="28">
        <f>J26-J27</f>
        <v>6.2711864406779227E-3</v>
      </c>
    </row>
    <row r="28" spans="1:11" x14ac:dyDescent="0.3">
      <c r="A28">
        <v>90</v>
      </c>
      <c r="B28" s="13" t="s">
        <v>29</v>
      </c>
      <c r="C28" s="8">
        <v>5220</v>
      </c>
      <c r="D28" s="17">
        <f t="shared" si="4"/>
        <v>130.5</v>
      </c>
      <c r="E28" s="47">
        <f>E27-D28</f>
        <v>1505.75</v>
      </c>
      <c r="F28" s="66">
        <f>(SUM(D17:D28))/C11</f>
        <v>0.6597175141242938</v>
      </c>
      <c r="J28" s="21">
        <f t="shared" si="1"/>
        <v>0.3402824858757062</v>
      </c>
      <c r="K28" s="28">
        <f>J27-J28</f>
        <v>2.9491525423728848E-2</v>
      </c>
    </row>
    <row r="29" spans="1:11" x14ac:dyDescent="0.3">
      <c r="B29" s="37" t="s">
        <v>39</v>
      </c>
      <c r="C29" s="38">
        <v>28500</v>
      </c>
      <c r="D29" s="49">
        <f>C29*0.01</f>
        <v>285</v>
      </c>
      <c r="E29" s="65">
        <f>E28-D29</f>
        <v>1220.75</v>
      </c>
      <c r="F29" s="52">
        <f>K29</f>
        <v>6.4406779661016933E-2</v>
      </c>
      <c r="G29" s="39" t="s">
        <v>37</v>
      </c>
      <c r="H29" s="39"/>
      <c r="J29" s="21">
        <f t="shared" si="1"/>
        <v>0.27587570621468926</v>
      </c>
      <c r="K29" s="28">
        <f>J28-J29</f>
        <v>6.4406779661016933E-2</v>
      </c>
    </row>
    <row r="30" spans="1:11" x14ac:dyDescent="0.3">
      <c r="B30" s="44" t="s">
        <v>40</v>
      </c>
      <c r="C30" s="45">
        <v>3590</v>
      </c>
      <c r="D30" s="46">
        <f>C30*0.01</f>
        <v>35.9</v>
      </c>
      <c r="E30" s="50">
        <f>E29-D30</f>
        <v>1184.8499999999999</v>
      </c>
      <c r="F30" s="53">
        <f>K30</f>
        <v>8.1129943502825097E-3</v>
      </c>
      <c r="G30" s="40" t="s">
        <v>38</v>
      </c>
      <c r="H30" s="40"/>
      <c r="J30" s="21">
        <f t="shared" si="1"/>
        <v>0.26776271186440675</v>
      </c>
      <c r="K30" s="28">
        <f>J29-J30</f>
        <v>8.1129943502825097E-3</v>
      </c>
    </row>
    <row r="31" spans="1:11" x14ac:dyDescent="0.3">
      <c r="B31" s="41" t="s">
        <v>61</v>
      </c>
      <c r="C31" s="42">
        <v>8080</v>
      </c>
      <c r="D31" s="46">
        <f>C31*0.01</f>
        <v>80.8</v>
      </c>
      <c r="E31" s="50">
        <f>E30-D31</f>
        <v>1104.05</v>
      </c>
      <c r="F31" s="69">
        <f>K31</f>
        <v>1.8259887005649705E-2</v>
      </c>
      <c r="G31" s="70" t="s">
        <v>61</v>
      </c>
      <c r="H31" s="27"/>
      <c r="I31" s="27"/>
      <c r="J31" s="21">
        <f t="shared" ref="J31" si="5">E31/$C$11</f>
        <v>0.24950282485875705</v>
      </c>
      <c r="K31" s="28">
        <f>J30-J31</f>
        <v>1.8259887005649705E-2</v>
      </c>
    </row>
    <row r="32" spans="1:11" ht="15" thickBot="1" x14ac:dyDescent="0.35">
      <c r="B32" s="27"/>
      <c r="C32" s="27"/>
      <c r="D32" s="27"/>
      <c r="E32" s="54" t="s">
        <v>16</v>
      </c>
      <c r="F32" s="55">
        <f>1-SUM(F17:F31)</f>
        <v>0.21436158192090382</v>
      </c>
      <c r="G32" s="27"/>
      <c r="H32" s="27"/>
      <c r="I32" s="27"/>
      <c r="J32" s="27"/>
    </row>
    <row r="33" spans="4:4" x14ac:dyDescent="0.3">
      <c r="D33">
        <f>SUM(D17:D28)</f>
        <v>2919.25</v>
      </c>
    </row>
  </sheetData>
  <mergeCells count="3">
    <mergeCell ref="K5:L5"/>
    <mergeCell ref="K6:L6"/>
    <mergeCell ref="K7:L7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2"/>
  <sheetViews>
    <sheetView workbookViewId="0">
      <selection activeCell="C12" sqref="C12"/>
    </sheetView>
  </sheetViews>
  <sheetFormatPr baseColWidth="10" defaultRowHeight="14.4" x14ac:dyDescent="0.3"/>
  <cols>
    <col min="2" max="2" width="24.109375" customWidth="1"/>
    <col min="3" max="6" width="11.44140625" customWidth="1"/>
    <col min="7" max="7" width="16" customWidth="1"/>
    <col min="10" max="10" width="11.44140625" customWidth="1"/>
    <col min="12" max="12" width="11.44140625" customWidth="1"/>
    <col min="15" max="15" width="11.44140625" customWidth="1"/>
  </cols>
  <sheetData>
    <row r="2" spans="1:16" x14ac:dyDescent="0.3">
      <c r="B2" s="1" t="s">
        <v>0</v>
      </c>
    </row>
    <row r="4" spans="1:16" x14ac:dyDescent="0.3">
      <c r="B4" s="15" t="s">
        <v>1</v>
      </c>
      <c r="C4" s="16" t="s">
        <v>43</v>
      </c>
      <c r="E4" s="23" t="s">
        <v>19</v>
      </c>
      <c r="F4" s="23" t="s">
        <v>21</v>
      </c>
      <c r="G4" s="23" t="s">
        <v>22</v>
      </c>
      <c r="H4" s="23" t="s">
        <v>23</v>
      </c>
      <c r="I4" s="57" t="s">
        <v>47</v>
      </c>
      <c r="J4" s="29" t="s">
        <v>32</v>
      </c>
      <c r="K4" s="29" t="s">
        <v>31</v>
      </c>
      <c r="L4" s="30"/>
      <c r="M4" s="29" t="s">
        <v>33</v>
      </c>
    </row>
    <row r="5" spans="1:16" x14ac:dyDescent="0.3">
      <c r="B5" s="14" t="s">
        <v>2</v>
      </c>
      <c r="C5" s="7">
        <v>186.22831719999999</v>
      </c>
      <c r="D5" s="2"/>
      <c r="E5" s="24" t="s">
        <v>18</v>
      </c>
      <c r="F5" s="22">
        <v>19.771000000000001</v>
      </c>
      <c r="G5">
        <v>22.603999999999999</v>
      </c>
      <c r="H5" s="22">
        <v>19.975000000000001</v>
      </c>
      <c r="I5" s="63">
        <f>H5-F5</f>
        <v>0.20400000000000063</v>
      </c>
      <c r="J5" s="31">
        <v>0</v>
      </c>
      <c r="K5" s="91">
        <v>186.22800000000001</v>
      </c>
      <c r="L5" s="92"/>
      <c r="M5" s="30"/>
    </row>
    <row r="6" spans="1:16" x14ac:dyDescent="0.3">
      <c r="B6" s="14" t="s">
        <v>3</v>
      </c>
      <c r="C6" s="7">
        <v>121.7393593</v>
      </c>
      <c r="D6" s="2"/>
      <c r="E6" s="24" t="s">
        <v>20</v>
      </c>
      <c r="F6" s="22">
        <v>148.399</v>
      </c>
      <c r="G6" s="22">
        <v>150.965</v>
      </c>
      <c r="H6" s="22">
        <v>148.876</v>
      </c>
      <c r="I6" s="63">
        <f>H6-F6</f>
        <v>0.47700000000000387</v>
      </c>
      <c r="J6" s="32">
        <v>0.3</v>
      </c>
      <c r="K6" s="91">
        <v>180.30600000000001</v>
      </c>
      <c r="L6" s="92"/>
      <c r="M6" s="33">
        <f>1-K6/K5</f>
        <v>3.1799729364005436E-2</v>
      </c>
      <c r="N6" t="s">
        <v>34</v>
      </c>
      <c r="O6" s="35">
        <f>M6/M7</f>
        <v>9.1829614352835431E-2</v>
      </c>
      <c r="P6" t="s">
        <v>35</v>
      </c>
    </row>
    <row r="7" spans="1:16" x14ac:dyDescent="0.3">
      <c r="B7" s="14" t="s">
        <v>5</v>
      </c>
      <c r="C7" s="8">
        <v>28300</v>
      </c>
      <c r="D7" s="3"/>
      <c r="E7" s="3"/>
      <c r="F7" s="3"/>
      <c r="G7" s="3"/>
      <c r="H7" s="3"/>
      <c r="I7" s="3"/>
      <c r="J7" s="34">
        <v>96</v>
      </c>
      <c r="K7" s="91">
        <v>121.739</v>
      </c>
      <c r="L7" s="92"/>
      <c r="M7" s="33">
        <f>1-K7/K5</f>
        <v>0.3462905685503791</v>
      </c>
    </row>
    <row r="8" spans="1:16" x14ac:dyDescent="0.3">
      <c r="B8" s="14" t="s">
        <v>6</v>
      </c>
      <c r="C8" s="8">
        <v>18500</v>
      </c>
      <c r="D8" s="3"/>
      <c r="E8" s="60" t="s">
        <v>19</v>
      </c>
      <c r="F8" s="59" t="s">
        <v>51</v>
      </c>
      <c r="G8" s="59" t="s">
        <v>52</v>
      </c>
      <c r="H8" s="59" t="s">
        <v>54</v>
      </c>
      <c r="I8" s="60" t="s">
        <v>47</v>
      </c>
      <c r="J8" s="3"/>
    </row>
    <row r="9" spans="1:16" x14ac:dyDescent="0.3">
      <c r="B9" s="13" t="s">
        <v>7</v>
      </c>
      <c r="C9" s="9">
        <f>0.25*C7</f>
        <v>7075</v>
      </c>
      <c r="E9" s="23" t="s">
        <v>18</v>
      </c>
      <c r="F9" s="30">
        <v>7.282</v>
      </c>
      <c r="G9" s="61">
        <v>7.4779999999999998</v>
      </c>
      <c r="H9" s="30">
        <v>7.298</v>
      </c>
      <c r="I9" s="62">
        <f>G9-F9</f>
        <v>0.19599999999999973</v>
      </c>
    </row>
    <row r="10" spans="1:16" x14ac:dyDescent="0.3">
      <c r="B10" s="13" t="s">
        <v>8</v>
      </c>
      <c r="C10" s="9">
        <f>C8*0.25</f>
        <v>4625</v>
      </c>
      <c r="E10" s="23" t="s">
        <v>20</v>
      </c>
      <c r="F10" s="30">
        <v>11.497999999999999</v>
      </c>
      <c r="G10" s="30">
        <v>11.975</v>
      </c>
      <c r="H10" s="30">
        <v>11.519</v>
      </c>
      <c r="I10" s="30">
        <f>G10-F10</f>
        <v>0.47700000000000031</v>
      </c>
    </row>
    <row r="11" spans="1:16" x14ac:dyDescent="0.3">
      <c r="B11" s="13" t="s">
        <v>9</v>
      </c>
      <c r="C11" s="9">
        <f>C9-C10</f>
        <v>2450</v>
      </c>
    </row>
    <row r="12" spans="1:16" x14ac:dyDescent="0.3">
      <c r="B12" s="14" t="s">
        <v>73</v>
      </c>
      <c r="C12" s="95">
        <f>C11/C9</f>
        <v>0.3462897526501767</v>
      </c>
      <c r="D12" t="s">
        <v>55</v>
      </c>
      <c r="E12" s="23" t="s">
        <v>19</v>
      </c>
      <c r="F12" s="23" t="s">
        <v>58</v>
      </c>
      <c r="G12" s="23" t="s">
        <v>59</v>
      </c>
      <c r="H12" s="23" t="s">
        <v>60</v>
      </c>
      <c r="I12" s="23" t="s">
        <v>47</v>
      </c>
    </row>
    <row r="13" spans="1:16" x14ac:dyDescent="0.3">
      <c r="B13" s="13"/>
      <c r="C13" s="9"/>
      <c r="E13" s="23" t="s">
        <v>56</v>
      </c>
      <c r="F13" s="30">
        <v>59.152999999999999</v>
      </c>
      <c r="G13" s="30">
        <v>64.025999999999996</v>
      </c>
      <c r="H13" s="30">
        <v>59.677999999999997</v>
      </c>
      <c r="I13" s="30">
        <f>H13-F13</f>
        <v>0.52499999999999858</v>
      </c>
    </row>
    <row r="14" spans="1:16" x14ac:dyDescent="0.3">
      <c r="B14" s="13"/>
      <c r="C14" s="9"/>
      <c r="E14" s="23" t="s">
        <v>57</v>
      </c>
      <c r="F14" s="30">
        <v>8.2710000000000008</v>
      </c>
      <c r="G14" s="30">
        <v>8.7929999999999993</v>
      </c>
      <c r="H14" s="30">
        <v>8.266</v>
      </c>
      <c r="I14" s="30">
        <f>G14-F14</f>
        <v>0.52199999999999847</v>
      </c>
    </row>
    <row r="15" spans="1:16" x14ac:dyDescent="0.3">
      <c r="A15" t="s">
        <v>41</v>
      </c>
      <c r="B15" s="11"/>
      <c r="C15" s="12"/>
      <c r="K15" t="s">
        <v>30</v>
      </c>
    </row>
    <row r="16" spans="1:16" x14ac:dyDescent="0.3">
      <c r="A16">
        <v>5</v>
      </c>
      <c r="B16" s="13" t="s">
        <v>10</v>
      </c>
      <c r="C16" s="8">
        <v>2150</v>
      </c>
      <c r="D16" s="4">
        <f>C16*0.05</f>
        <v>107.5</v>
      </c>
      <c r="E16" s="5">
        <f>C11-D16</f>
        <v>2342.5</v>
      </c>
      <c r="F16" s="36">
        <f>D16/C11</f>
        <v>4.3877551020408162E-2</v>
      </c>
      <c r="G16" s="18" t="s">
        <v>17</v>
      </c>
      <c r="H16" s="20"/>
      <c r="J16" s="21">
        <f>E16/$C$11</f>
        <v>0.95612244897959187</v>
      </c>
    </row>
    <row r="17" spans="1:11" x14ac:dyDescent="0.3">
      <c r="A17">
        <v>7.5</v>
      </c>
      <c r="B17" s="13" t="s">
        <v>11</v>
      </c>
      <c r="C17" s="8">
        <v>37200</v>
      </c>
      <c r="D17" s="6">
        <f t="shared" ref="D17:D25" si="0">C17*0.025</f>
        <v>930</v>
      </c>
      <c r="E17" s="9">
        <f>E16-D17</f>
        <v>1412.5</v>
      </c>
      <c r="F17" s="19"/>
      <c r="J17" s="21">
        <f>E17/$C$11</f>
        <v>0.57653061224489799</v>
      </c>
    </row>
    <row r="18" spans="1:11" x14ac:dyDescent="0.3">
      <c r="A18">
        <v>10</v>
      </c>
      <c r="B18" s="13" t="s">
        <v>12</v>
      </c>
      <c r="C18" s="8">
        <v>16300</v>
      </c>
      <c r="D18" s="6">
        <f t="shared" si="0"/>
        <v>407.5</v>
      </c>
      <c r="E18" s="9">
        <f>E17-D18</f>
        <v>1005</v>
      </c>
      <c r="F18" s="19"/>
      <c r="J18" s="21">
        <f>E18/$C$11</f>
        <v>0.41020408163265304</v>
      </c>
      <c r="K18" s="28">
        <f>J17-J18</f>
        <v>0.16632653061224495</v>
      </c>
    </row>
    <row r="19" spans="1:11" x14ac:dyDescent="0.3">
      <c r="A19">
        <v>12.5</v>
      </c>
      <c r="B19" s="13" t="s">
        <v>13</v>
      </c>
      <c r="C19" s="8">
        <v>6440</v>
      </c>
      <c r="D19" s="6">
        <f t="shared" si="0"/>
        <v>161</v>
      </c>
      <c r="E19" s="9">
        <f>E18-D19</f>
        <v>844</v>
      </c>
      <c r="F19" s="19"/>
      <c r="J19" s="21">
        <f>E19/$C$11</f>
        <v>0.34448979591836737</v>
      </c>
      <c r="K19" s="28">
        <f t="shared" ref="K19:K27" si="1">J18-J19</f>
        <v>6.571428571428567E-2</v>
      </c>
    </row>
    <row r="20" spans="1:11" x14ac:dyDescent="0.3">
      <c r="A20">
        <v>15</v>
      </c>
      <c r="B20" s="13" t="s">
        <v>14</v>
      </c>
      <c r="C20" s="8">
        <v>3970</v>
      </c>
      <c r="D20" s="6">
        <f t="shared" si="0"/>
        <v>99.25</v>
      </c>
      <c r="E20" s="9">
        <f>E19-D20</f>
        <v>744.75</v>
      </c>
      <c r="F20" s="19"/>
      <c r="J20" s="21">
        <f t="shared" ref="J20:J29" si="2">E20/$C$11</f>
        <v>0.30397959183673467</v>
      </c>
      <c r="K20" s="28">
        <f t="shared" si="1"/>
        <v>4.0510204081632695E-2</v>
      </c>
    </row>
    <row r="21" spans="1:11" x14ac:dyDescent="0.3">
      <c r="A21">
        <v>17.5</v>
      </c>
      <c r="B21" s="13" t="s">
        <v>15</v>
      </c>
      <c r="C21" s="8">
        <v>2520</v>
      </c>
      <c r="D21" s="6">
        <f t="shared" si="0"/>
        <v>63</v>
      </c>
      <c r="E21" s="9">
        <f>E20-D21</f>
        <v>681.75</v>
      </c>
      <c r="F21" s="25"/>
      <c r="G21" s="26"/>
      <c r="H21" s="27"/>
      <c r="J21" s="21">
        <f t="shared" si="2"/>
        <v>0.27826530612244899</v>
      </c>
      <c r="K21" s="28">
        <f t="shared" si="1"/>
        <v>2.571428571428569E-2</v>
      </c>
    </row>
    <row r="22" spans="1:11" x14ac:dyDescent="0.3">
      <c r="A22">
        <v>20</v>
      </c>
      <c r="B22" s="13" t="s">
        <v>24</v>
      </c>
      <c r="C22" s="10">
        <v>2490</v>
      </c>
      <c r="D22" s="6">
        <f t="shared" si="0"/>
        <v>62.25</v>
      </c>
      <c r="E22" s="9">
        <f t="shared" ref="E22:E27" si="3">E21-D22</f>
        <v>619.5</v>
      </c>
      <c r="F22" s="19"/>
      <c r="J22" s="21">
        <f t="shared" si="2"/>
        <v>0.25285714285714284</v>
      </c>
      <c r="K22" s="28">
        <f t="shared" si="1"/>
        <v>2.540816326530615E-2</v>
      </c>
    </row>
    <row r="23" spans="1:11" x14ac:dyDescent="0.3">
      <c r="A23">
        <v>22.5</v>
      </c>
      <c r="B23" s="13" t="s">
        <v>25</v>
      </c>
      <c r="C23" s="8">
        <v>1740</v>
      </c>
      <c r="D23" s="17">
        <f t="shared" si="0"/>
        <v>43.5</v>
      </c>
      <c r="E23" s="9">
        <f t="shared" si="3"/>
        <v>576</v>
      </c>
      <c r="F23" s="19"/>
      <c r="J23" s="21">
        <f t="shared" si="2"/>
        <v>0.23510204081632652</v>
      </c>
      <c r="K23" s="28">
        <f t="shared" si="1"/>
        <v>1.7755102040816317E-2</v>
      </c>
    </row>
    <row r="24" spans="1:11" x14ac:dyDescent="0.3">
      <c r="A24">
        <v>25</v>
      </c>
      <c r="B24" s="13" t="s">
        <v>26</v>
      </c>
      <c r="C24" s="8">
        <v>1400</v>
      </c>
      <c r="D24" s="17">
        <f t="shared" si="0"/>
        <v>35</v>
      </c>
      <c r="E24" s="9">
        <f t="shared" si="3"/>
        <v>541</v>
      </c>
      <c r="F24" s="19"/>
      <c r="J24" s="21">
        <f t="shared" si="2"/>
        <v>0.22081632653061226</v>
      </c>
      <c r="K24" s="28">
        <f t="shared" si="1"/>
        <v>1.4285714285714263E-2</v>
      </c>
    </row>
    <row r="25" spans="1:11" x14ac:dyDescent="0.3">
      <c r="A25">
        <v>27.5</v>
      </c>
      <c r="B25" s="13" t="s">
        <v>27</v>
      </c>
      <c r="C25" s="8">
        <v>1150</v>
      </c>
      <c r="D25" s="17">
        <f t="shared" si="0"/>
        <v>28.75</v>
      </c>
      <c r="E25" s="9">
        <f t="shared" si="3"/>
        <v>512.25</v>
      </c>
      <c r="F25" s="19"/>
      <c r="J25" s="21">
        <f t="shared" si="2"/>
        <v>0.20908163265306123</v>
      </c>
      <c r="K25" s="28">
        <f t="shared" si="1"/>
        <v>1.1734693877551022E-2</v>
      </c>
    </row>
    <row r="26" spans="1:11" x14ac:dyDescent="0.3">
      <c r="A26">
        <v>30</v>
      </c>
      <c r="B26" s="13" t="s">
        <v>28</v>
      </c>
      <c r="C26" s="8">
        <v>1380</v>
      </c>
      <c r="D26" s="17">
        <f t="shared" ref="D26:D27" si="4">C26*0.025</f>
        <v>34.5</v>
      </c>
      <c r="E26" s="9">
        <f t="shared" si="3"/>
        <v>477.75</v>
      </c>
      <c r="F26" s="19"/>
      <c r="J26" s="21">
        <f t="shared" si="2"/>
        <v>0.19500000000000001</v>
      </c>
      <c r="K26" s="28">
        <f t="shared" si="1"/>
        <v>1.4081632653061227E-2</v>
      </c>
    </row>
    <row r="27" spans="1:11" x14ac:dyDescent="0.3">
      <c r="A27">
        <v>90</v>
      </c>
      <c r="B27" s="13" t="s">
        <v>29</v>
      </c>
      <c r="C27" s="8">
        <v>5160</v>
      </c>
      <c r="D27" s="17">
        <f t="shared" si="4"/>
        <v>129</v>
      </c>
      <c r="E27" s="9">
        <f t="shared" si="3"/>
        <v>348.75</v>
      </c>
      <c r="F27" s="51">
        <f>(SUM(D17:D27)/C11)</f>
        <v>0.81377551020408168</v>
      </c>
      <c r="J27" s="21">
        <f t="shared" si="2"/>
        <v>0.14234693877551022</v>
      </c>
      <c r="K27" s="28">
        <f t="shared" si="1"/>
        <v>5.2653061224489789E-2</v>
      </c>
    </row>
    <row r="28" spans="1:11" x14ac:dyDescent="0.3">
      <c r="B28" s="37" t="s">
        <v>39</v>
      </c>
      <c r="C28" s="38">
        <v>31000</v>
      </c>
      <c r="D28" s="49">
        <f>C28*0.01</f>
        <v>310</v>
      </c>
      <c r="E28" s="65">
        <f>E27-D28</f>
        <v>38.75</v>
      </c>
      <c r="F28" s="52">
        <f>K28</f>
        <v>0.12653061224489798</v>
      </c>
      <c r="G28" s="39" t="s">
        <v>37</v>
      </c>
      <c r="H28" s="39"/>
      <c r="J28" s="21">
        <f t="shared" si="2"/>
        <v>1.5816326530612244E-2</v>
      </c>
      <c r="K28" s="28">
        <f>J27-J28</f>
        <v>0.12653061224489798</v>
      </c>
    </row>
    <row r="29" spans="1:11" x14ac:dyDescent="0.3">
      <c r="B29" s="44" t="s">
        <v>40</v>
      </c>
      <c r="C29" s="45">
        <v>3310</v>
      </c>
      <c r="D29" s="46">
        <f>C29*0.01</f>
        <v>33.1</v>
      </c>
      <c r="E29" s="50">
        <f>E28-D29</f>
        <v>5.6499999999999986</v>
      </c>
      <c r="F29" s="53">
        <f>K29</f>
        <v>1.3510204081632653E-2</v>
      </c>
      <c r="G29" s="40" t="s">
        <v>38</v>
      </c>
      <c r="H29" s="40"/>
      <c r="J29" s="21">
        <f t="shared" si="2"/>
        <v>2.3061224489795912E-3</v>
      </c>
      <c r="K29" s="28">
        <f t="shared" ref="K29" si="5">J28-J29</f>
        <v>1.3510204081632653E-2</v>
      </c>
    </row>
    <row r="30" spans="1:11" x14ac:dyDescent="0.3">
      <c r="B30" s="41"/>
      <c r="C30" s="42">
        <v>4790</v>
      </c>
      <c r="D30" s="46">
        <f>C30*0.01</f>
        <v>47.9</v>
      </c>
      <c r="E30" s="50">
        <f>E29-D30</f>
        <v>-42.25</v>
      </c>
      <c r="F30" s="69">
        <f>K30</f>
        <v>1.9551020408163262E-2</v>
      </c>
      <c r="G30" s="67" t="s">
        <v>61</v>
      </c>
      <c r="H30" s="27"/>
      <c r="I30" s="27"/>
      <c r="J30" s="21">
        <f t="shared" ref="J30" si="6">E30/$C$11</f>
        <v>-1.7244897959183672E-2</v>
      </c>
      <c r="K30" s="28">
        <f t="shared" ref="K30" si="7">J29-J30</f>
        <v>1.9551020408163262E-2</v>
      </c>
    </row>
    <row r="31" spans="1:11" ht="15" thickBot="1" x14ac:dyDescent="0.35">
      <c r="B31" s="27"/>
      <c r="C31" s="27"/>
      <c r="D31" s="27"/>
      <c r="E31" s="54" t="s">
        <v>16</v>
      </c>
      <c r="F31" s="55">
        <f>1-SUM(F16:F30)</f>
        <v>-1.7244897959183714E-2</v>
      </c>
      <c r="G31" s="27"/>
      <c r="H31" s="27"/>
      <c r="I31" s="27"/>
      <c r="J31" s="27"/>
    </row>
    <row r="32" spans="1:11" x14ac:dyDescent="0.3">
      <c r="D32">
        <f>SUM(D16:D27)</f>
        <v>2101.25</v>
      </c>
    </row>
  </sheetData>
  <mergeCells count="3">
    <mergeCell ref="K5:L5"/>
    <mergeCell ref="K6:L6"/>
    <mergeCell ref="K7:L7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2"/>
  <sheetViews>
    <sheetView topLeftCell="A4" workbookViewId="0">
      <selection activeCell="C12" sqref="C12"/>
    </sheetView>
  </sheetViews>
  <sheetFormatPr baseColWidth="10" defaultRowHeight="14.4" x14ac:dyDescent="0.3"/>
  <cols>
    <col min="2" max="2" width="24.109375" customWidth="1"/>
    <col min="3" max="6" width="11.44140625" customWidth="1"/>
    <col min="7" max="7" width="16" customWidth="1"/>
    <col min="10" max="10" width="11.44140625" customWidth="1"/>
    <col min="12" max="12" width="11.44140625" customWidth="1"/>
    <col min="15" max="15" width="11.44140625" customWidth="1"/>
  </cols>
  <sheetData>
    <row r="2" spans="1:16" x14ac:dyDescent="0.3">
      <c r="B2" s="1" t="s">
        <v>0</v>
      </c>
    </row>
    <row r="4" spans="1:16" x14ac:dyDescent="0.3">
      <c r="B4" s="15" t="s">
        <v>1</v>
      </c>
      <c r="C4" s="16" t="s">
        <v>44</v>
      </c>
      <c r="E4" s="23" t="s">
        <v>19</v>
      </c>
      <c r="F4" s="23" t="s">
        <v>21</v>
      </c>
      <c r="G4" s="23" t="s">
        <v>22</v>
      </c>
      <c r="H4" s="23" t="s">
        <v>23</v>
      </c>
      <c r="I4" s="57" t="s">
        <v>47</v>
      </c>
      <c r="J4" s="29" t="s">
        <v>32</v>
      </c>
      <c r="K4" s="29" t="s">
        <v>31</v>
      </c>
      <c r="L4" s="30"/>
      <c r="M4" s="29" t="s">
        <v>33</v>
      </c>
    </row>
    <row r="5" spans="1:16" x14ac:dyDescent="0.3">
      <c r="B5" s="14" t="s">
        <v>2</v>
      </c>
      <c r="C5" s="7">
        <v>185.57026664209945</v>
      </c>
      <c r="D5" s="2"/>
      <c r="E5" s="24" t="s">
        <v>18</v>
      </c>
      <c r="F5" s="22">
        <v>18.202000000000002</v>
      </c>
      <c r="G5">
        <v>20.189</v>
      </c>
      <c r="H5" s="22">
        <v>18.367000000000001</v>
      </c>
      <c r="I5" s="63">
        <f>H5-F5</f>
        <v>0.16499999999999915</v>
      </c>
      <c r="J5" s="31">
        <v>0</v>
      </c>
      <c r="K5" s="91">
        <v>185.57</v>
      </c>
      <c r="L5" s="92"/>
      <c r="M5" s="30"/>
    </row>
    <row r="6" spans="1:16" x14ac:dyDescent="0.3">
      <c r="B6" s="14" t="s">
        <v>3</v>
      </c>
      <c r="C6" s="7">
        <v>129.63596641309783</v>
      </c>
      <c r="D6" s="2"/>
      <c r="E6" s="24" t="s">
        <v>20</v>
      </c>
      <c r="F6" s="22">
        <v>66.972999999999999</v>
      </c>
      <c r="G6" s="22">
        <v>69.149000000000001</v>
      </c>
      <c r="H6" s="22">
        <v>67.388000000000005</v>
      </c>
      <c r="I6" s="63">
        <f>H6-F6</f>
        <v>0.41500000000000625</v>
      </c>
      <c r="J6" s="32">
        <v>0.3</v>
      </c>
      <c r="K6" s="91">
        <v>177.67400000000001</v>
      </c>
      <c r="L6" s="92"/>
      <c r="M6" s="33">
        <f>1-K6/K5</f>
        <v>4.2549981139192727E-2</v>
      </c>
      <c r="N6" t="s">
        <v>34</v>
      </c>
      <c r="O6" s="35">
        <f>M6/M7</f>
        <v>0.14116637465584431</v>
      </c>
      <c r="P6" t="s">
        <v>35</v>
      </c>
    </row>
    <row r="7" spans="1:16" x14ac:dyDescent="0.3">
      <c r="B7" s="14" t="s">
        <v>5</v>
      </c>
      <c r="C7" s="8">
        <v>28200</v>
      </c>
      <c r="D7" s="3"/>
      <c r="E7" s="3"/>
      <c r="F7" s="3"/>
      <c r="G7" s="3"/>
      <c r="H7" s="3"/>
      <c r="I7" s="3"/>
      <c r="J7" s="34">
        <v>96</v>
      </c>
      <c r="K7" s="91">
        <v>129.636</v>
      </c>
      <c r="L7" s="92"/>
      <c r="M7" s="33">
        <f>1-K7/K5</f>
        <v>0.30141725494422589</v>
      </c>
    </row>
    <row r="8" spans="1:16" x14ac:dyDescent="0.3">
      <c r="B8" s="14" t="s">
        <v>6</v>
      </c>
      <c r="C8" s="8">
        <v>19700</v>
      </c>
      <c r="D8" s="3"/>
      <c r="E8" s="60" t="s">
        <v>19</v>
      </c>
      <c r="F8" s="59" t="s">
        <v>51</v>
      </c>
      <c r="G8" s="59" t="s">
        <v>52</v>
      </c>
      <c r="H8" s="59" t="s">
        <v>54</v>
      </c>
      <c r="I8" s="60" t="s">
        <v>47</v>
      </c>
      <c r="J8" s="3"/>
    </row>
    <row r="9" spans="1:16" x14ac:dyDescent="0.3">
      <c r="B9" s="13" t="s">
        <v>7</v>
      </c>
      <c r="C9" s="9">
        <f>0.25*C7</f>
        <v>7050</v>
      </c>
      <c r="E9" s="23" t="s">
        <v>18</v>
      </c>
      <c r="F9" s="30">
        <v>6.2249999999999996</v>
      </c>
      <c r="G9" s="61">
        <v>6.3860000000000001</v>
      </c>
      <c r="H9" s="30">
        <v>6.24</v>
      </c>
      <c r="I9" s="62">
        <f>G9-F9</f>
        <v>0.16100000000000048</v>
      </c>
    </row>
    <row r="10" spans="1:16" x14ac:dyDescent="0.3">
      <c r="B10" s="13" t="s">
        <v>8</v>
      </c>
      <c r="C10" s="9">
        <f>C8*0.25</f>
        <v>4925</v>
      </c>
      <c r="E10" s="23" t="s">
        <v>20</v>
      </c>
      <c r="F10" s="30">
        <v>12.699</v>
      </c>
      <c r="G10" s="30">
        <v>13.132999999999999</v>
      </c>
      <c r="H10" s="30">
        <v>12.715999999999999</v>
      </c>
      <c r="I10" s="30">
        <f>G10-F10</f>
        <v>0.43399999999999928</v>
      </c>
    </row>
    <row r="11" spans="1:16" x14ac:dyDescent="0.3">
      <c r="B11" s="13" t="s">
        <v>9</v>
      </c>
      <c r="C11" s="9">
        <f>C9-C10</f>
        <v>2125</v>
      </c>
    </row>
    <row r="12" spans="1:16" x14ac:dyDescent="0.3">
      <c r="B12" s="14" t="s">
        <v>73</v>
      </c>
      <c r="C12" s="95">
        <f>C11/C9</f>
        <v>0.30141843971631205</v>
      </c>
      <c r="E12" s="23" t="s">
        <v>19</v>
      </c>
      <c r="F12" s="23" t="s">
        <v>58</v>
      </c>
      <c r="G12" s="23" t="s">
        <v>59</v>
      </c>
      <c r="H12" s="23" t="s">
        <v>60</v>
      </c>
      <c r="I12" s="23" t="s">
        <v>47</v>
      </c>
    </row>
    <row r="13" spans="1:16" x14ac:dyDescent="0.3">
      <c r="B13" s="13"/>
      <c r="C13" s="9"/>
      <c r="E13" s="23" t="s">
        <v>56</v>
      </c>
      <c r="F13" s="30">
        <v>50.718000000000004</v>
      </c>
      <c r="G13" s="30">
        <v>53.917999999999999</v>
      </c>
      <c r="H13" s="30">
        <v>51.225000000000001</v>
      </c>
      <c r="I13" s="30">
        <f>H13-F13</f>
        <v>0.5069999999999979</v>
      </c>
    </row>
    <row r="14" spans="1:16" x14ac:dyDescent="0.3">
      <c r="B14" s="13"/>
      <c r="C14" s="9"/>
      <c r="E14" s="23" t="s">
        <v>57</v>
      </c>
      <c r="F14" s="30">
        <v>7.2110000000000003</v>
      </c>
      <c r="G14" s="30">
        <v>7.734</v>
      </c>
      <c r="H14" s="30">
        <v>7.1970000000000001</v>
      </c>
      <c r="I14" s="30">
        <f>G14-F14</f>
        <v>0.52299999999999969</v>
      </c>
    </row>
    <row r="15" spans="1:16" x14ac:dyDescent="0.3">
      <c r="A15" t="s">
        <v>41</v>
      </c>
      <c r="B15" s="11"/>
      <c r="C15" s="12"/>
      <c r="E15" t="s">
        <v>16</v>
      </c>
      <c r="K15" t="s">
        <v>30</v>
      </c>
    </row>
    <row r="16" spans="1:16" x14ac:dyDescent="0.3">
      <c r="A16">
        <v>5</v>
      </c>
      <c r="B16" s="13" t="s">
        <v>10</v>
      </c>
      <c r="C16" s="8">
        <v>2190</v>
      </c>
      <c r="D16" s="4">
        <f>C16*0.05</f>
        <v>109.5</v>
      </c>
      <c r="E16" s="5">
        <f>C11-D16</f>
        <v>2015.5</v>
      </c>
      <c r="F16" s="36">
        <f>D16/C11</f>
        <v>5.1529411764705879E-2</v>
      </c>
      <c r="G16" s="18" t="s">
        <v>17</v>
      </c>
      <c r="H16" s="20"/>
      <c r="J16" s="21">
        <f>E16/$C$11</f>
        <v>0.94847058823529407</v>
      </c>
    </row>
    <row r="17" spans="1:11" x14ac:dyDescent="0.3">
      <c r="A17">
        <v>7.5</v>
      </c>
      <c r="B17" s="13" t="s">
        <v>11</v>
      </c>
      <c r="C17" s="8">
        <v>35100</v>
      </c>
      <c r="D17" s="6">
        <f t="shared" ref="D17:D27" si="0">C17*0.025</f>
        <v>877.5</v>
      </c>
      <c r="E17" s="9">
        <f>E16-D17</f>
        <v>1138</v>
      </c>
      <c r="F17" s="19"/>
      <c r="J17" s="21">
        <f>E17/$C$11</f>
        <v>0.53552941176470592</v>
      </c>
    </row>
    <row r="18" spans="1:11" x14ac:dyDescent="0.3">
      <c r="A18">
        <v>10</v>
      </c>
      <c r="B18" s="13" t="s">
        <v>12</v>
      </c>
      <c r="C18" s="8">
        <v>12200</v>
      </c>
      <c r="D18" s="6">
        <f t="shared" si="0"/>
        <v>305</v>
      </c>
      <c r="E18" s="9">
        <f>E17-D18</f>
        <v>833</v>
      </c>
      <c r="F18" s="19"/>
      <c r="J18" s="21">
        <f>E18/$C$11</f>
        <v>0.39200000000000002</v>
      </c>
      <c r="K18" s="28">
        <f>J17-J18</f>
        <v>0.14352941176470591</v>
      </c>
    </row>
    <row r="19" spans="1:11" x14ac:dyDescent="0.3">
      <c r="A19">
        <v>12.5</v>
      </c>
      <c r="B19" s="13" t="s">
        <v>13</v>
      </c>
      <c r="C19" s="8">
        <v>5130</v>
      </c>
      <c r="D19" s="6">
        <f t="shared" si="0"/>
        <v>128.25</v>
      </c>
      <c r="E19" s="9">
        <f>E18-D19</f>
        <v>704.75</v>
      </c>
      <c r="F19" s="19"/>
      <c r="J19" s="21">
        <f>E19/$C$11</f>
        <v>0.33164705882352941</v>
      </c>
      <c r="K19" s="28">
        <f t="shared" ref="K19:K27" si="1">J18-J19</f>
        <v>6.0352941176470609E-2</v>
      </c>
    </row>
    <row r="20" spans="1:11" x14ac:dyDescent="0.3">
      <c r="A20">
        <v>15</v>
      </c>
      <c r="B20" s="13" t="s">
        <v>14</v>
      </c>
      <c r="C20" s="8">
        <v>3510</v>
      </c>
      <c r="D20" s="6">
        <f t="shared" si="0"/>
        <v>87.75</v>
      </c>
      <c r="E20" s="9">
        <f>E19-D20</f>
        <v>617</v>
      </c>
      <c r="F20" s="19"/>
      <c r="J20" s="21">
        <f t="shared" ref="J20:J29" si="2">E20/$C$11</f>
        <v>0.29035294117647059</v>
      </c>
      <c r="K20" s="28">
        <f t="shared" si="1"/>
        <v>4.1294117647058814E-2</v>
      </c>
    </row>
    <row r="21" spans="1:11" x14ac:dyDescent="0.3">
      <c r="A21">
        <v>17.5</v>
      </c>
      <c r="B21" s="13" t="s">
        <v>15</v>
      </c>
      <c r="C21" s="8">
        <v>2420</v>
      </c>
      <c r="D21" s="6">
        <f t="shared" si="0"/>
        <v>60.5</v>
      </c>
      <c r="E21" s="9">
        <f>E20-D21</f>
        <v>556.5</v>
      </c>
      <c r="F21" s="25"/>
      <c r="G21" s="26"/>
      <c r="H21" s="27"/>
      <c r="J21" s="21">
        <f t="shared" si="2"/>
        <v>0.26188235294117646</v>
      </c>
      <c r="K21" s="28">
        <f t="shared" si="1"/>
        <v>2.8470588235294136E-2</v>
      </c>
    </row>
    <row r="22" spans="1:11" x14ac:dyDescent="0.3">
      <c r="A22">
        <v>20</v>
      </c>
      <c r="B22" s="13" t="s">
        <v>24</v>
      </c>
      <c r="C22" s="10">
        <v>2010</v>
      </c>
      <c r="D22" s="6">
        <f t="shared" si="0"/>
        <v>50.25</v>
      </c>
      <c r="E22" s="9">
        <f t="shared" ref="E22:E27" si="3">E21-D22</f>
        <v>506.25</v>
      </c>
      <c r="F22" s="19"/>
      <c r="J22" s="21">
        <f t="shared" si="2"/>
        <v>0.23823529411764705</v>
      </c>
      <c r="K22" s="28">
        <f t="shared" si="1"/>
        <v>2.364705882352941E-2</v>
      </c>
    </row>
    <row r="23" spans="1:11" x14ac:dyDescent="0.3">
      <c r="A23">
        <v>22.5</v>
      </c>
      <c r="B23" s="13" t="s">
        <v>25</v>
      </c>
      <c r="C23" s="8">
        <v>1580</v>
      </c>
      <c r="D23" s="17">
        <f t="shared" si="0"/>
        <v>39.5</v>
      </c>
      <c r="E23" s="9">
        <f t="shared" si="3"/>
        <v>466.75</v>
      </c>
      <c r="F23" s="19"/>
      <c r="J23" s="21">
        <f t="shared" si="2"/>
        <v>0.21964705882352942</v>
      </c>
      <c r="K23" s="28">
        <f t="shared" si="1"/>
        <v>1.8588235294117628E-2</v>
      </c>
    </row>
    <row r="24" spans="1:11" x14ac:dyDescent="0.3">
      <c r="A24">
        <v>25</v>
      </c>
      <c r="B24" s="13" t="s">
        <v>26</v>
      </c>
      <c r="C24" s="8">
        <v>1170</v>
      </c>
      <c r="D24" s="17">
        <f t="shared" si="0"/>
        <v>29.25</v>
      </c>
      <c r="E24" s="9">
        <f t="shared" si="3"/>
        <v>437.5</v>
      </c>
      <c r="F24" s="19"/>
      <c r="J24" s="21">
        <f t="shared" si="2"/>
        <v>0.20588235294117646</v>
      </c>
      <c r="K24" s="28">
        <f t="shared" si="1"/>
        <v>1.3764705882352957E-2</v>
      </c>
    </row>
    <row r="25" spans="1:11" x14ac:dyDescent="0.3">
      <c r="A25">
        <v>27.5</v>
      </c>
      <c r="B25" s="13" t="s">
        <v>27</v>
      </c>
      <c r="C25" s="8">
        <v>1110</v>
      </c>
      <c r="D25" s="17">
        <f t="shared" si="0"/>
        <v>27.75</v>
      </c>
      <c r="E25" s="9">
        <f t="shared" si="3"/>
        <v>409.75</v>
      </c>
      <c r="F25" s="19"/>
      <c r="J25" s="21">
        <f t="shared" si="2"/>
        <v>0.1928235294117647</v>
      </c>
      <c r="K25" s="28">
        <f t="shared" si="1"/>
        <v>1.3058823529411762E-2</v>
      </c>
    </row>
    <row r="26" spans="1:11" x14ac:dyDescent="0.3">
      <c r="A26">
        <v>30</v>
      </c>
      <c r="B26" s="13" t="s">
        <v>28</v>
      </c>
      <c r="C26" s="8">
        <v>986</v>
      </c>
      <c r="D26" s="17">
        <f t="shared" si="0"/>
        <v>24.650000000000002</v>
      </c>
      <c r="E26" s="9">
        <f t="shared" si="3"/>
        <v>385.1</v>
      </c>
      <c r="F26" s="19"/>
      <c r="J26" s="21">
        <f t="shared" si="2"/>
        <v>0.18122352941176473</v>
      </c>
      <c r="K26" s="28">
        <f t="shared" si="1"/>
        <v>1.1599999999999971E-2</v>
      </c>
    </row>
    <row r="27" spans="1:11" x14ac:dyDescent="0.3">
      <c r="A27">
        <v>90</v>
      </c>
      <c r="B27" s="13" t="s">
        <v>29</v>
      </c>
      <c r="C27" s="8">
        <v>5210</v>
      </c>
      <c r="D27" s="17">
        <f t="shared" si="0"/>
        <v>130.25</v>
      </c>
      <c r="E27" s="9">
        <f t="shared" si="3"/>
        <v>254.85000000000002</v>
      </c>
      <c r="F27" s="51">
        <f>(SUM(D17:D27)/C11)</f>
        <v>0.82854117647058823</v>
      </c>
      <c r="J27" s="21">
        <f t="shared" si="2"/>
        <v>0.1199294117647059</v>
      </c>
      <c r="K27" s="28">
        <f t="shared" si="1"/>
        <v>6.1294117647058832E-2</v>
      </c>
    </row>
    <row r="28" spans="1:11" x14ac:dyDescent="0.3">
      <c r="B28" s="37" t="s">
        <v>39</v>
      </c>
      <c r="C28" s="38">
        <v>29600</v>
      </c>
      <c r="D28" s="49">
        <f>C28*0.01</f>
        <v>296</v>
      </c>
      <c r="E28" s="65">
        <f>E27-D28</f>
        <v>-41.149999999999977</v>
      </c>
      <c r="F28" s="52">
        <f>K28</f>
        <v>0.13929411764705882</v>
      </c>
      <c r="G28" s="39" t="s">
        <v>37</v>
      </c>
      <c r="H28" s="39"/>
      <c r="J28" s="21">
        <f t="shared" si="2"/>
        <v>-1.936470588235293E-2</v>
      </c>
      <c r="K28" s="28">
        <f>J27-J28</f>
        <v>0.13929411764705882</v>
      </c>
    </row>
    <row r="29" spans="1:11" x14ac:dyDescent="0.3">
      <c r="B29" s="44" t="s">
        <v>40</v>
      </c>
      <c r="C29" s="45">
        <v>2720</v>
      </c>
      <c r="D29" s="46">
        <f>C29*0.01</f>
        <v>27.2</v>
      </c>
      <c r="E29" s="50">
        <f>E28-D29</f>
        <v>-68.34999999999998</v>
      </c>
      <c r="F29" s="53">
        <f>K29</f>
        <v>1.2799999999999999E-2</v>
      </c>
      <c r="G29" s="40" t="s">
        <v>38</v>
      </c>
      <c r="H29" s="40"/>
      <c r="J29" s="21">
        <f t="shared" si="2"/>
        <v>-3.2164705882352929E-2</v>
      </c>
      <c r="K29" s="28">
        <f t="shared" ref="K29" si="4">J28-J29</f>
        <v>1.2799999999999999E-2</v>
      </c>
    </row>
    <row r="30" spans="1:11" x14ac:dyDescent="0.3">
      <c r="B30" s="41" t="s">
        <v>61</v>
      </c>
      <c r="C30" s="42">
        <v>30300</v>
      </c>
      <c r="D30" s="46">
        <f>C30*0.01</f>
        <v>303</v>
      </c>
      <c r="E30" s="50">
        <f>E29-D30</f>
        <v>-371.34999999999997</v>
      </c>
      <c r="F30" s="69">
        <f>K30</f>
        <v>0.14258823529411765</v>
      </c>
      <c r="G30" s="70" t="s">
        <v>61</v>
      </c>
      <c r="H30" s="27"/>
      <c r="I30" s="27"/>
      <c r="J30" s="21">
        <f t="shared" ref="J30" si="5">E30/$C$11</f>
        <v>-0.17475294117647058</v>
      </c>
      <c r="K30" s="28">
        <f t="shared" ref="K30" si="6">J29-J30</f>
        <v>0.14258823529411765</v>
      </c>
    </row>
    <row r="31" spans="1:11" ht="15" thickBot="1" x14ac:dyDescent="0.35">
      <c r="B31" s="27"/>
      <c r="C31" s="27"/>
      <c r="D31" s="27"/>
      <c r="E31" s="54" t="s">
        <v>16</v>
      </c>
      <c r="F31" s="55">
        <f>1-SUM(F16:F30)</f>
        <v>-0.17475294117647056</v>
      </c>
      <c r="G31" s="27"/>
      <c r="H31" s="27"/>
      <c r="I31" s="27"/>
      <c r="J31" s="27"/>
    </row>
    <row r="32" spans="1:11" x14ac:dyDescent="0.3">
      <c r="D32">
        <f>SUM(D16:D27)</f>
        <v>1870.15</v>
      </c>
    </row>
  </sheetData>
  <mergeCells count="3">
    <mergeCell ref="K5:L5"/>
    <mergeCell ref="K6:L6"/>
    <mergeCell ref="K7:L7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2"/>
  <sheetViews>
    <sheetView workbookViewId="0">
      <selection activeCell="C12" sqref="C12"/>
    </sheetView>
  </sheetViews>
  <sheetFormatPr baseColWidth="10" defaultRowHeight="14.4" x14ac:dyDescent="0.3"/>
  <cols>
    <col min="2" max="2" width="24.109375" customWidth="1"/>
    <col min="3" max="6" width="11.44140625" customWidth="1"/>
    <col min="7" max="7" width="16" customWidth="1"/>
    <col min="10" max="10" width="11.44140625" customWidth="1"/>
    <col min="12" max="12" width="11.44140625" customWidth="1"/>
    <col min="15" max="15" width="11.44140625" customWidth="1"/>
  </cols>
  <sheetData>
    <row r="2" spans="1:16" x14ac:dyDescent="0.3">
      <c r="B2" s="1" t="s">
        <v>0</v>
      </c>
    </row>
    <row r="4" spans="1:16" x14ac:dyDescent="0.3">
      <c r="B4" s="15" t="s">
        <v>1</v>
      </c>
      <c r="C4" s="16" t="s">
        <v>45</v>
      </c>
      <c r="E4" s="23" t="s">
        <v>19</v>
      </c>
      <c r="F4" s="23" t="s">
        <v>21</v>
      </c>
      <c r="G4" s="23" t="s">
        <v>22</v>
      </c>
      <c r="H4" s="23" t="s">
        <v>23</v>
      </c>
      <c r="I4" s="57" t="s">
        <v>47</v>
      </c>
      <c r="J4" s="29" t="s">
        <v>32</v>
      </c>
      <c r="K4" s="29" t="s">
        <v>31</v>
      </c>
      <c r="L4" s="30"/>
      <c r="M4" s="29" t="s">
        <v>33</v>
      </c>
    </row>
    <row r="5" spans="1:16" x14ac:dyDescent="0.3">
      <c r="B5" s="14" t="s">
        <v>2</v>
      </c>
      <c r="C5" s="7">
        <v>189.51857018767603</v>
      </c>
      <c r="D5" s="2"/>
      <c r="E5" s="24" t="s">
        <v>18</v>
      </c>
      <c r="F5" s="22">
        <v>19.189</v>
      </c>
      <c r="G5">
        <v>21.952000000000002</v>
      </c>
      <c r="H5" s="22">
        <v>19.385999999999999</v>
      </c>
      <c r="I5" s="63">
        <f>H5-F5</f>
        <v>0.19699999999999918</v>
      </c>
      <c r="J5" s="31">
        <v>0</v>
      </c>
      <c r="K5" s="91">
        <v>189.51859999999999</v>
      </c>
      <c r="L5" s="92"/>
      <c r="M5" s="30"/>
    </row>
    <row r="6" spans="1:16" x14ac:dyDescent="0.3">
      <c r="B6" s="14" t="s">
        <v>3</v>
      </c>
      <c r="C6" s="7">
        <v>80.282172093390542</v>
      </c>
      <c r="D6" s="2"/>
      <c r="E6" s="24" t="s">
        <v>20</v>
      </c>
      <c r="F6" s="22">
        <v>115.348</v>
      </c>
      <c r="G6" s="22">
        <v>117.911</v>
      </c>
      <c r="H6" s="22">
        <v>115.839</v>
      </c>
      <c r="I6" s="63">
        <f>H6-F6</f>
        <v>0.49099999999999966</v>
      </c>
      <c r="J6" s="32">
        <v>0.3</v>
      </c>
      <c r="K6" s="91">
        <v>181.62196</v>
      </c>
      <c r="L6" s="92"/>
      <c r="M6" s="33">
        <f>1-K6/K5</f>
        <v>4.1666833756686672E-2</v>
      </c>
      <c r="N6" t="s">
        <v>34</v>
      </c>
      <c r="O6" s="35">
        <f>M6/M7</f>
        <v>7.2289390450993932E-2</v>
      </c>
      <c r="P6" t="s">
        <v>35</v>
      </c>
    </row>
    <row r="7" spans="1:16" x14ac:dyDescent="0.3">
      <c r="B7" s="14" t="s">
        <v>5</v>
      </c>
      <c r="C7" s="8">
        <v>28800</v>
      </c>
      <c r="D7" s="3"/>
      <c r="E7" s="3"/>
      <c r="F7" s="3"/>
      <c r="G7" s="3"/>
      <c r="H7" s="3"/>
      <c r="I7" s="3"/>
      <c r="J7" s="34">
        <v>96</v>
      </c>
      <c r="K7" s="91">
        <v>80.2821</v>
      </c>
      <c r="L7" s="92"/>
      <c r="M7" s="33">
        <f>1-K7/K5</f>
        <v>0.57638933592797748</v>
      </c>
    </row>
    <row r="8" spans="1:16" x14ac:dyDescent="0.3">
      <c r="B8" s="14" t="s">
        <v>6</v>
      </c>
      <c r="C8" s="8">
        <v>12200</v>
      </c>
      <c r="D8" s="3"/>
      <c r="E8" s="60" t="s">
        <v>19</v>
      </c>
      <c r="F8" s="59" t="s">
        <v>51</v>
      </c>
      <c r="G8" s="59" t="s">
        <v>52</v>
      </c>
      <c r="H8" s="59" t="s">
        <v>54</v>
      </c>
      <c r="I8" s="60" t="s">
        <v>53</v>
      </c>
      <c r="J8" s="3"/>
    </row>
    <row r="9" spans="1:16" x14ac:dyDescent="0.3">
      <c r="B9" s="13" t="s">
        <v>7</v>
      </c>
      <c r="C9" s="9">
        <f>0.25*C7</f>
        <v>7200</v>
      </c>
      <c r="E9" s="23" t="s">
        <v>18</v>
      </c>
      <c r="F9" s="30">
        <v>6.5519999999999996</v>
      </c>
      <c r="G9" s="61">
        <v>6.7380000000000004</v>
      </c>
      <c r="H9" s="30">
        <v>6.569</v>
      </c>
      <c r="I9" s="62">
        <f>G9-F9</f>
        <v>0.18600000000000083</v>
      </c>
    </row>
    <row r="10" spans="1:16" x14ac:dyDescent="0.3">
      <c r="B10" s="13" t="s">
        <v>8</v>
      </c>
      <c r="C10" s="9">
        <f>C8*0.25</f>
        <v>3050</v>
      </c>
      <c r="E10" s="23" t="s">
        <v>20</v>
      </c>
      <c r="F10" s="30">
        <v>10.384</v>
      </c>
      <c r="G10" s="30">
        <v>10.88</v>
      </c>
      <c r="H10" s="30">
        <v>10.413</v>
      </c>
      <c r="I10" s="30">
        <f>G10-F10</f>
        <v>0.49600000000000044</v>
      </c>
    </row>
    <row r="11" spans="1:16" x14ac:dyDescent="0.3">
      <c r="B11" s="13" t="s">
        <v>9</v>
      </c>
      <c r="C11" s="9">
        <f>C9-C10</f>
        <v>4150</v>
      </c>
    </row>
    <row r="12" spans="1:16" x14ac:dyDescent="0.3">
      <c r="B12" s="14" t="s">
        <v>73</v>
      </c>
      <c r="C12" s="95">
        <f>C11/C9</f>
        <v>0.57638888888888884</v>
      </c>
      <c r="E12" s="23" t="s">
        <v>19</v>
      </c>
      <c r="F12" s="23" t="s">
        <v>58</v>
      </c>
      <c r="G12" s="23" t="s">
        <v>59</v>
      </c>
      <c r="H12" s="23" t="s">
        <v>60</v>
      </c>
      <c r="I12" s="23" t="s">
        <v>47</v>
      </c>
    </row>
    <row r="13" spans="1:16" x14ac:dyDescent="0.3">
      <c r="B13" s="13"/>
      <c r="C13" s="9"/>
      <c r="E13" s="23" t="s">
        <v>56</v>
      </c>
      <c r="F13" s="30">
        <v>50.912999999999997</v>
      </c>
      <c r="G13" s="30">
        <v>53.155999999999999</v>
      </c>
      <c r="H13" s="30">
        <v>51.417000000000002</v>
      </c>
      <c r="I13" s="30">
        <f>H13-F13</f>
        <v>0.50400000000000489</v>
      </c>
    </row>
    <row r="14" spans="1:16" x14ac:dyDescent="0.3">
      <c r="B14" s="13"/>
      <c r="C14" s="9"/>
      <c r="E14" s="23" t="s">
        <v>57</v>
      </c>
      <c r="F14" s="30">
        <v>7.76</v>
      </c>
      <c r="G14" s="30">
        <v>8.2799999999999994</v>
      </c>
      <c r="H14" s="30">
        <v>7.7510000000000003</v>
      </c>
      <c r="I14" s="30">
        <f>G14-F14</f>
        <v>0.51999999999999957</v>
      </c>
    </row>
    <row r="15" spans="1:16" x14ac:dyDescent="0.3">
      <c r="A15" t="s">
        <v>41</v>
      </c>
      <c r="B15" s="11"/>
      <c r="C15" s="12"/>
      <c r="E15" t="s">
        <v>16</v>
      </c>
      <c r="K15" t="s">
        <v>30</v>
      </c>
    </row>
    <row r="16" spans="1:16" x14ac:dyDescent="0.3">
      <c r="A16">
        <v>5</v>
      </c>
      <c r="B16" s="13" t="s">
        <v>10</v>
      </c>
      <c r="C16" s="8">
        <v>4420</v>
      </c>
      <c r="D16" s="4">
        <f>C16*0.05</f>
        <v>221</v>
      </c>
      <c r="E16" s="5">
        <f>C11-D16</f>
        <v>3929</v>
      </c>
      <c r="F16" s="36">
        <f>D16/C11</f>
        <v>5.3253012048192772E-2</v>
      </c>
      <c r="G16" s="18" t="s">
        <v>17</v>
      </c>
      <c r="H16" s="20"/>
      <c r="J16" s="21">
        <f>E16/$C$11</f>
        <v>0.94674698795180723</v>
      </c>
    </row>
    <row r="17" spans="1:11" x14ac:dyDescent="0.3">
      <c r="A17">
        <v>7.5</v>
      </c>
      <c r="B17" s="13" t="s">
        <v>11</v>
      </c>
      <c r="C17" s="8">
        <v>39600</v>
      </c>
      <c r="D17" s="6">
        <f t="shared" ref="D17:D27" si="0">C17*0.025</f>
        <v>990</v>
      </c>
      <c r="E17" s="9">
        <f>E16-D17</f>
        <v>2939</v>
      </c>
      <c r="F17" s="19"/>
      <c r="J17" s="21">
        <f>E17/$C$11</f>
        <v>0.70819277108433731</v>
      </c>
    </row>
    <row r="18" spans="1:11" x14ac:dyDescent="0.3">
      <c r="A18">
        <v>10</v>
      </c>
      <c r="B18" s="13" t="s">
        <v>12</v>
      </c>
      <c r="C18" s="8">
        <v>23200</v>
      </c>
      <c r="D18" s="6">
        <f t="shared" si="0"/>
        <v>580</v>
      </c>
      <c r="E18" s="9">
        <f>E17-D18</f>
        <v>2359</v>
      </c>
      <c r="F18" s="19"/>
      <c r="J18" s="21">
        <f>E18/$C$11</f>
        <v>0.56843373493975902</v>
      </c>
      <c r="K18" s="28">
        <f>J17-J18</f>
        <v>0.1397590361445783</v>
      </c>
    </row>
    <row r="19" spans="1:11" x14ac:dyDescent="0.3">
      <c r="A19">
        <v>12.5</v>
      </c>
      <c r="B19" s="13" t="s">
        <v>13</v>
      </c>
      <c r="C19" s="8">
        <v>9820</v>
      </c>
      <c r="D19" s="6">
        <f t="shared" si="0"/>
        <v>245.5</v>
      </c>
      <c r="E19" s="9">
        <f>E18-D19</f>
        <v>2113.5</v>
      </c>
      <c r="F19" s="19"/>
      <c r="J19" s="21">
        <f>E19/$C$11</f>
        <v>0.50927710843373497</v>
      </c>
      <c r="K19" s="28">
        <f t="shared" ref="K19:K27" si="1">J18-J19</f>
        <v>5.9156626506024046E-2</v>
      </c>
    </row>
    <row r="20" spans="1:11" x14ac:dyDescent="0.3">
      <c r="A20">
        <v>15</v>
      </c>
      <c r="B20" s="13" t="s">
        <v>14</v>
      </c>
      <c r="C20" s="8">
        <v>5690</v>
      </c>
      <c r="D20" s="6">
        <f t="shared" si="0"/>
        <v>142.25</v>
      </c>
      <c r="E20" s="9">
        <f>E19-D20</f>
        <v>1971.25</v>
      </c>
      <c r="F20" s="19"/>
      <c r="J20" s="21">
        <f t="shared" ref="J20:J29" si="2">E20/$C$11</f>
        <v>0.47499999999999998</v>
      </c>
      <c r="K20" s="28">
        <f t="shared" si="1"/>
        <v>3.4277108433734993E-2</v>
      </c>
    </row>
    <row r="21" spans="1:11" x14ac:dyDescent="0.3">
      <c r="A21">
        <v>17.5</v>
      </c>
      <c r="B21" s="13" t="s">
        <v>15</v>
      </c>
      <c r="C21" s="8">
        <v>4140</v>
      </c>
      <c r="D21" s="6">
        <f t="shared" si="0"/>
        <v>103.5</v>
      </c>
      <c r="E21" s="9">
        <f>E20-D21</f>
        <v>1867.75</v>
      </c>
      <c r="F21" s="25"/>
      <c r="G21" s="26"/>
      <c r="H21" s="27"/>
      <c r="J21" s="21">
        <f t="shared" si="2"/>
        <v>0.45006024096385544</v>
      </c>
      <c r="K21" s="28">
        <f t="shared" si="1"/>
        <v>2.4939759036144538E-2</v>
      </c>
    </row>
    <row r="22" spans="1:11" x14ac:dyDescent="0.3">
      <c r="A22">
        <v>20</v>
      </c>
      <c r="B22" s="13" t="s">
        <v>24</v>
      </c>
      <c r="C22" s="10">
        <v>2340</v>
      </c>
      <c r="D22" s="6">
        <f t="shared" si="0"/>
        <v>58.5</v>
      </c>
      <c r="E22" s="9">
        <f t="shared" ref="E22:E27" si="3">E21-D22</f>
        <v>1809.25</v>
      </c>
      <c r="F22" s="19"/>
      <c r="J22" s="21">
        <f t="shared" si="2"/>
        <v>0.43596385542168675</v>
      </c>
      <c r="K22" s="28">
        <f t="shared" si="1"/>
        <v>1.4096385542168688E-2</v>
      </c>
    </row>
    <row r="23" spans="1:11" x14ac:dyDescent="0.3">
      <c r="A23">
        <v>22.5</v>
      </c>
      <c r="B23" s="13" t="s">
        <v>25</v>
      </c>
      <c r="C23" s="8">
        <v>2230</v>
      </c>
      <c r="D23" s="17">
        <f t="shared" si="0"/>
        <v>55.75</v>
      </c>
      <c r="E23" s="9">
        <f t="shared" si="3"/>
        <v>1753.5</v>
      </c>
      <c r="F23" s="19"/>
      <c r="J23" s="21">
        <f t="shared" si="2"/>
        <v>0.42253012048192773</v>
      </c>
      <c r="K23" s="28">
        <f t="shared" si="1"/>
        <v>1.3433734939759023E-2</v>
      </c>
    </row>
    <row r="24" spans="1:11" x14ac:dyDescent="0.3">
      <c r="A24">
        <v>25</v>
      </c>
      <c r="B24" s="13" t="s">
        <v>26</v>
      </c>
      <c r="C24" s="8">
        <v>1950</v>
      </c>
      <c r="D24" s="17">
        <f t="shared" si="0"/>
        <v>48.75</v>
      </c>
      <c r="E24" s="9">
        <f t="shared" si="3"/>
        <v>1704.75</v>
      </c>
      <c r="F24" s="19"/>
      <c r="J24" s="21">
        <f t="shared" si="2"/>
        <v>0.4107831325301205</v>
      </c>
      <c r="K24" s="28">
        <f t="shared" si="1"/>
        <v>1.1746987951807231E-2</v>
      </c>
    </row>
    <row r="25" spans="1:11" x14ac:dyDescent="0.3">
      <c r="A25">
        <v>27.5</v>
      </c>
      <c r="B25" s="13" t="s">
        <v>27</v>
      </c>
      <c r="C25" s="8">
        <v>1590</v>
      </c>
      <c r="D25" s="17">
        <f t="shared" si="0"/>
        <v>39.75</v>
      </c>
      <c r="E25" s="9">
        <f t="shared" si="3"/>
        <v>1665</v>
      </c>
      <c r="F25" s="19"/>
      <c r="J25" s="21">
        <f t="shared" si="2"/>
        <v>0.40120481927710844</v>
      </c>
      <c r="K25" s="28">
        <f t="shared" si="1"/>
        <v>9.5783132530120607E-3</v>
      </c>
    </row>
    <row r="26" spans="1:11" x14ac:dyDescent="0.3">
      <c r="A26">
        <v>30</v>
      </c>
      <c r="B26" s="13" t="s">
        <v>28</v>
      </c>
      <c r="C26" s="8">
        <v>1660</v>
      </c>
      <c r="D26" s="17">
        <f t="shared" si="0"/>
        <v>41.5</v>
      </c>
      <c r="E26" s="9">
        <f t="shared" si="3"/>
        <v>1623.5</v>
      </c>
      <c r="F26" s="19"/>
      <c r="J26" s="21">
        <f t="shared" si="2"/>
        <v>0.39120481927710843</v>
      </c>
      <c r="K26" s="28">
        <f t="shared" si="1"/>
        <v>1.0000000000000009E-2</v>
      </c>
    </row>
    <row r="27" spans="1:11" x14ac:dyDescent="0.3">
      <c r="A27">
        <v>90</v>
      </c>
      <c r="B27" s="13" t="s">
        <v>29</v>
      </c>
      <c r="C27" s="8">
        <v>6260</v>
      </c>
      <c r="D27" s="17">
        <f t="shared" si="0"/>
        <v>156.5</v>
      </c>
      <c r="E27" s="9">
        <f t="shared" si="3"/>
        <v>1467</v>
      </c>
      <c r="F27" s="51">
        <f>(SUM(D17:D27)/C11)</f>
        <v>0.59325301204819281</v>
      </c>
      <c r="J27" s="21">
        <f t="shared" si="2"/>
        <v>0.35349397590361448</v>
      </c>
      <c r="K27" s="28">
        <f t="shared" si="1"/>
        <v>3.7710843373493952E-2</v>
      </c>
    </row>
    <row r="28" spans="1:11" x14ac:dyDescent="0.3">
      <c r="B28" s="37" t="s">
        <v>39</v>
      </c>
      <c r="C28" s="38">
        <v>35800</v>
      </c>
      <c r="D28" s="49">
        <f>C28*0.01</f>
        <v>358</v>
      </c>
      <c r="E28" s="65">
        <f>E27-D28</f>
        <v>1109</v>
      </c>
      <c r="F28" s="52">
        <f>K28</f>
        <v>8.6265060240963864E-2</v>
      </c>
      <c r="G28" s="39" t="s">
        <v>37</v>
      </c>
      <c r="H28" s="39"/>
      <c r="J28" s="21">
        <f t="shared" si="2"/>
        <v>0.26722891566265061</v>
      </c>
      <c r="K28" s="28">
        <f>J27-J28</f>
        <v>8.6265060240963864E-2</v>
      </c>
    </row>
    <row r="29" spans="1:11" x14ac:dyDescent="0.3">
      <c r="B29" s="44" t="s">
        <v>40</v>
      </c>
      <c r="C29" s="45">
        <v>14000</v>
      </c>
      <c r="D29" s="46">
        <f>C29*0.01</f>
        <v>140</v>
      </c>
      <c r="E29" s="50">
        <f>E28-D29</f>
        <v>969</v>
      </c>
      <c r="F29" s="53">
        <f>K29</f>
        <v>3.3734939759036159E-2</v>
      </c>
      <c r="G29" s="40" t="s">
        <v>38</v>
      </c>
      <c r="H29" s="40"/>
      <c r="J29" s="21">
        <f t="shared" si="2"/>
        <v>0.23349397590361445</v>
      </c>
      <c r="K29" s="28">
        <f t="shared" ref="K29" si="4">J28-J29</f>
        <v>3.3734939759036159E-2</v>
      </c>
    </row>
    <row r="30" spans="1:11" x14ac:dyDescent="0.3">
      <c r="B30" s="41" t="s">
        <v>61</v>
      </c>
      <c r="C30" s="42">
        <v>30000</v>
      </c>
      <c r="D30" s="46">
        <f>C30*0.01</f>
        <v>300</v>
      </c>
      <c r="E30" s="50">
        <f>E29-D30</f>
        <v>669</v>
      </c>
      <c r="F30" s="69">
        <f>K30</f>
        <v>7.2289156626506007E-2</v>
      </c>
      <c r="G30" s="67" t="s">
        <v>61</v>
      </c>
      <c r="H30" s="27"/>
      <c r="I30" s="27"/>
      <c r="J30" s="21">
        <f t="shared" ref="J30" si="5">E30/$C$11</f>
        <v>0.16120481927710845</v>
      </c>
      <c r="K30" s="28">
        <f t="shared" ref="K30" si="6">J29-J30</f>
        <v>7.2289156626506007E-2</v>
      </c>
    </row>
    <row r="31" spans="1:11" ht="15" thickBot="1" x14ac:dyDescent="0.35">
      <c r="B31" s="27"/>
      <c r="C31" s="27"/>
      <c r="D31" s="27"/>
      <c r="E31" s="54" t="s">
        <v>16</v>
      </c>
      <c r="F31" s="55">
        <f>1-SUM(F16:F30)</f>
        <v>0.16120481927710839</v>
      </c>
      <c r="G31" s="27"/>
      <c r="H31" s="27"/>
      <c r="I31" s="27"/>
      <c r="J31" s="27"/>
    </row>
    <row r="32" spans="1:11" x14ac:dyDescent="0.3">
      <c r="D32">
        <f>SUM(D16:D27)</f>
        <v>2683</v>
      </c>
    </row>
  </sheetData>
  <mergeCells count="3">
    <mergeCell ref="K5:L5"/>
    <mergeCell ref="K6:L6"/>
    <mergeCell ref="K7:L7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9"/>
  <sheetViews>
    <sheetView workbookViewId="0">
      <selection activeCell="J25" sqref="J25:J26"/>
    </sheetView>
  </sheetViews>
  <sheetFormatPr baseColWidth="10" defaultRowHeight="14.4" x14ac:dyDescent="0.3"/>
  <cols>
    <col min="2" max="2" width="24.109375" customWidth="1"/>
    <col min="3" max="6" width="11.44140625" customWidth="1"/>
    <col min="7" max="7" width="16" customWidth="1"/>
    <col min="10" max="10" width="11.44140625" customWidth="1"/>
    <col min="12" max="12" width="11.44140625" customWidth="1"/>
    <col min="15" max="15" width="11.44140625" customWidth="1"/>
  </cols>
  <sheetData>
    <row r="2" spans="1:16" x14ac:dyDescent="0.3">
      <c r="B2" s="1" t="s">
        <v>0</v>
      </c>
    </row>
    <row r="4" spans="1:16" x14ac:dyDescent="0.3">
      <c r="B4" s="15" t="s">
        <v>1</v>
      </c>
      <c r="C4" s="16" t="s">
        <v>46</v>
      </c>
      <c r="E4" s="23" t="s">
        <v>19</v>
      </c>
      <c r="F4" s="23" t="s">
        <v>21</v>
      </c>
      <c r="G4" s="23" t="s">
        <v>22</v>
      </c>
      <c r="H4" s="23" t="s">
        <v>23</v>
      </c>
      <c r="I4" s="57" t="s">
        <v>47</v>
      </c>
      <c r="J4" s="29" t="s">
        <v>32</v>
      </c>
      <c r="K4" s="29" t="s">
        <v>31</v>
      </c>
      <c r="L4" s="30"/>
      <c r="M4" s="29" t="s">
        <v>33</v>
      </c>
    </row>
    <row r="5" spans="1:16" x14ac:dyDescent="0.3">
      <c r="B5" s="14" t="s">
        <v>2</v>
      </c>
      <c r="C5" s="7">
        <v>201.6925061198705</v>
      </c>
      <c r="D5" s="2"/>
      <c r="E5" s="24" t="s">
        <v>18</v>
      </c>
      <c r="F5" s="22">
        <v>46.601999999999997</v>
      </c>
      <c r="H5" s="22">
        <v>46.776000000000003</v>
      </c>
      <c r="I5" s="64">
        <f>H5-F5</f>
        <v>0.17400000000000659</v>
      </c>
      <c r="J5" s="31">
        <v>0</v>
      </c>
      <c r="K5" s="91">
        <v>201.69300000000001</v>
      </c>
      <c r="L5" s="92"/>
      <c r="M5" s="30"/>
    </row>
    <row r="6" spans="1:16" x14ac:dyDescent="0.3">
      <c r="B6" s="14" t="s">
        <v>3</v>
      </c>
      <c r="C6" s="7">
        <v>196.42810139243505</v>
      </c>
      <c r="D6" s="2"/>
      <c r="E6" s="24" t="s">
        <v>20</v>
      </c>
      <c r="F6" s="22">
        <v>79.692999999999998</v>
      </c>
      <c r="G6" s="22">
        <v>81.799000000000007</v>
      </c>
      <c r="H6" s="22">
        <v>80.001000000000005</v>
      </c>
      <c r="I6" s="64">
        <f>H6-F6</f>
        <v>0.30800000000000693</v>
      </c>
      <c r="J6" s="32">
        <v>0.3</v>
      </c>
      <c r="K6" s="91">
        <v>199.38900000000001</v>
      </c>
      <c r="L6" s="92"/>
      <c r="M6" s="33">
        <f>1-K6/K5</f>
        <v>1.1423301750680515E-2</v>
      </c>
      <c r="N6" t="s">
        <v>34</v>
      </c>
      <c r="O6" s="35">
        <f>M6/M7</f>
        <v>0.43760683760683816</v>
      </c>
      <c r="P6" t="s">
        <v>35</v>
      </c>
    </row>
    <row r="7" spans="1:16" x14ac:dyDescent="0.3">
      <c r="B7" s="14" t="s">
        <v>5</v>
      </c>
      <c r="C7" s="8">
        <v>30650</v>
      </c>
      <c r="D7" s="3"/>
      <c r="E7" s="3"/>
      <c r="F7" s="3"/>
      <c r="G7" s="3"/>
      <c r="H7" s="3"/>
      <c r="I7" s="3"/>
      <c r="J7" s="34">
        <v>4</v>
      </c>
      <c r="K7" s="91">
        <v>196.428</v>
      </c>
      <c r="L7" s="92"/>
      <c r="M7" s="33">
        <f>1-K7/K5</f>
        <v>2.6104029391203487E-2</v>
      </c>
    </row>
    <row r="8" spans="1:16" x14ac:dyDescent="0.3">
      <c r="B8" s="14" t="s">
        <v>6</v>
      </c>
      <c r="C8" s="8">
        <v>29850</v>
      </c>
      <c r="D8" s="3"/>
      <c r="E8" s="60" t="s">
        <v>19</v>
      </c>
      <c r="F8" s="59" t="s">
        <v>51</v>
      </c>
      <c r="G8" s="59" t="s">
        <v>52</v>
      </c>
      <c r="H8" s="59" t="s">
        <v>54</v>
      </c>
      <c r="I8" s="60" t="s">
        <v>53</v>
      </c>
      <c r="J8" s="3"/>
    </row>
    <row r="9" spans="1:16" x14ac:dyDescent="0.3">
      <c r="B9" s="13" t="s">
        <v>7</v>
      </c>
      <c r="C9" s="9">
        <f>0.25*C7</f>
        <v>7662.5</v>
      </c>
      <c r="E9" s="23" t="s">
        <v>18</v>
      </c>
      <c r="F9" s="30">
        <v>8.2230000000000008</v>
      </c>
      <c r="G9" s="61">
        <v>8.3810000000000002</v>
      </c>
      <c r="H9" s="30">
        <v>8.2409999999999997</v>
      </c>
      <c r="I9" s="62">
        <f>G9-F9</f>
        <v>0.15799999999999947</v>
      </c>
    </row>
    <row r="10" spans="1:16" x14ac:dyDescent="0.3">
      <c r="B10" s="13" t="s">
        <v>8</v>
      </c>
      <c r="C10" s="9">
        <f>C8*0.25</f>
        <v>7462.5</v>
      </c>
      <c r="E10" s="23" t="s">
        <v>20</v>
      </c>
      <c r="F10" s="30">
        <v>10.308999999999999</v>
      </c>
      <c r="G10" s="30">
        <v>10.58</v>
      </c>
      <c r="H10" s="30">
        <v>10.351000000000001</v>
      </c>
      <c r="I10" s="30">
        <f>G10-F10</f>
        <v>0.2710000000000008</v>
      </c>
    </row>
    <row r="11" spans="1:16" x14ac:dyDescent="0.3">
      <c r="B11" s="13" t="s">
        <v>9</v>
      </c>
      <c r="C11" s="9">
        <f>C9-C10</f>
        <v>200</v>
      </c>
    </row>
    <row r="12" spans="1:16" x14ac:dyDescent="0.3">
      <c r="A12" t="s">
        <v>41</v>
      </c>
      <c r="B12" s="11"/>
      <c r="C12" s="12"/>
      <c r="E12" t="s">
        <v>16</v>
      </c>
      <c r="K12" t="s">
        <v>30</v>
      </c>
    </row>
    <row r="13" spans="1:16" x14ac:dyDescent="0.3">
      <c r="A13">
        <v>5</v>
      </c>
      <c r="B13" s="13" t="s">
        <v>10</v>
      </c>
      <c r="C13" s="8">
        <v>652</v>
      </c>
      <c r="D13" s="4">
        <f>C13*0.05</f>
        <v>32.6</v>
      </c>
      <c r="E13" s="5">
        <f>C11-D13</f>
        <v>167.4</v>
      </c>
      <c r="F13" s="36">
        <f>D13/C11</f>
        <v>0.16300000000000001</v>
      </c>
      <c r="G13" s="18" t="s">
        <v>17</v>
      </c>
      <c r="H13" s="20"/>
      <c r="J13" s="21">
        <f>E13/$C$11</f>
        <v>0.83700000000000008</v>
      </c>
    </row>
    <row r="14" spans="1:16" x14ac:dyDescent="0.3">
      <c r="A14">
        <v>7.5</v>
      </c>
      <c r="B14" s="13" t="s">
        <v>11</v>
      </c>
      <c r="C14" s="8">
        <v>483</v>
      </c>
      <c r="D14" s="6">
        <f t="shared" ref="D14:D24" si="0">C14*0.025</f>
        <v>12.075000000000001</v>
      </c>
      <c r="E14" s="9">
        <f>E13-D14</f>
        <v>155.32500000000002</v>
      </c>
      <c r="F14" s="19"/>
      <c r="J14" s="21">
        <f>E14/$C$11</f>
        <v>0.77662500000000012</v>
      </c>
    </row>
    <row r="15" spans="1:16" x14ac:dyDescent="0.3">
      <c r="A15">
        <v>10</v>
      </c>
      <c r="B15" s="13" t="s">
        <v>12</v>
      </c>
      <c r="C15" s="8">
        <v>192</v>
      </c>
      <c r="D15" s="6">
        <f t="shared" si="0"/>
        <v>4.8000000000000007</v>
      </c>
      <c r="E15" s="9">
        <f>E14-D15</f>
        <v>150.52500000000001</v>
      </c>
      <c r="F15" s="19"/>
      <c r="J15" s="21">
        <f>E15/$C$11</f>
        <v>0.75262499999999999</v>
      </c>
      <c r="K15" s="28">
        <f>J14-J15</f>
        <v>2.4000000000000132E-2</v>
      </c>
    </row>
    <row r="16" spans="1:16" x14ac:dyDescent="0.3">
      <c r="A16">
        <v>12.5</v>
      </c>
      <c r="B16" s="13" t="s">
        <v>13</v>
      </c>
      <c r="C16" s="8">
        <v>98.8</v>
      </c>
      <c r="D16" s="6">
        <f t="shared" si="0"/>
        <v>2.4700000000000002</v>
      </c>
      <c r="E16" s="9">
        <f>E15-D16</f>
        <v>148.05500000000001</v>
      </c>
      <c r="F16" s="19"/>
      <c r="J16" s="21">
        <f>E16/$C$11</f>
        <v>0.74027500000000002</v>
      </c>
      <c r="K16" s="28">
        <f t="shared" ref="K16:K24" si="1">J15-J16</f>
        <v>1.2349999999999972E-2</v>
      </c>
    </row>
    <row r="17" spans="1:11" x14ac:dyDescent="0.3">
      <c r="A17">
        <v>15</v>
      </c>
      <c r="B17" s="13" t="s">
        <v>14</v>
      </c>
      <c r="C17" s="8">
        <v>77.8</v>
      </c>
      <c r="D17" s="6">
        <f t="shared" si="0"/>
        <v>1.9450000000000001</v>
      </c>
      <c r="E17" s="9">
        <f>E16-D17</f>
        <v>146.11000000000001</v>
      </c>
      <c r="F17" s="19"/>
      <c r="J17" s="21">
        <f t="shared" ref="J17:J26" si="2">E17/$C$11</f>
        <v>0.73055000000000003</v>
      </c>
      <c r="K17" s="28">
        <f t="shared" si="1"/>
        <v>9.7249999999999837E-3</v>
      </c>
    </row>
    <row r="18" spans="1:11" x14ac:dyDescent="0.3">
      <c r="A18">
        <v>17.5</v>
      </c>
      <c r="B18" s="13" t="s">
        <v>15</v>
      </c>
      <c r="C18" s="8">
        <v>54</v>
      </c>
      <c r="D18" s="6">
        <f t="shared" si="0"/>
        <v>1.35</v>
      </c>
      <c r="E18" s="9">
        <f>E17-D18</f>
        <v>144.76000000000002</v>
      </c>
      <c r="F18" s="25"/>
      <c r="G18" s="26"/>
      <c r="H18" s="27"/>
      <c r="J18" s="21">
        <f t="shared" si="2"/>
        <v>0.72380000000000011</v>
      </c>
      <c r="K18" s="28">
        <f t="shared" si="1"/>
        <v>6.7499999999999227E-3</v>
      </c>
    </row>
    <row r="19" spans="1:11" x14ac:dyDescent="0.3">
      <c r="A19">
        <v>20</v>
      </c>
      <c r="B19" s="13" t="s">
        <v>24</v>
      </c>
      <c r="C19" s="10">
        <v>60.3</v>
      </c>
      <c r="D19" s="6">
        <f t="shared" si="0"/>
        <v>1.5075000000000001</v>
      </c>
      <c r="E19" s="9">
        <f t="shared" ref="E19:E24" si="3">E18-D19</f>
        <v>143.25250000000003</v>
      </c>
      <c r="F19" s="19"/>
      <c r="J19" s="21">
        <f t="shared" si="2"/>
        <v>0.71626250000000014</v>
      </c>
      <c r="K19" s="28">
        <f t="shared" si="1"/>
        <v>7.5374999999999748E-3</v>
      </c>
    </row>
    <row r="20" spans="1:11" x14ac:dyDescent="0.3">
      <c r="A20">
        <v>22.5</v>
      </c>
      <c r="B20" s="13" t="s">
        <v>25</v>
      </c>
      <c r="C20" s="8">
        <v>44.9</v>
      </c>
      <c r="D20" s="17">
        <f t="shared" si="0"/>
        <v>1.1225000000000001</v>
      </c>
      <c r="E20" s="9">
        <f t="shared" si="3"/>
        <v>142.13000000000002</v>
      </c>
      <c r="F20" s="19"/>
      <c r="J20" s="21">
        <f t="shared" si="2"/>
        <v>0.71065000000000011</v>
      </c>
      <c r="K20" s="28">
        <f t="shared" si="1"/>
        <v>5.6125000000000203E-3</v>
      </c>
    </row>
    <row r="21" spans="1:11" x14ac:dyDescent="0.3">
      <c r="A21">
        <v>25</v>
      </c>
      <c r="B21" s="13" t="s">
        <v>26</v>
      </c>
      <c r="C21" s="8">
        <v>34</v>
      </c>
      <c r="D21" s="17">
        <f t="shared" si="0"/>
        <v>0.85000000000000009</v>
      </c>
      <c r="E21" s="9">
        <f t="shared" si="3"/>
        <v>141.28000000000003</v>
      </c>
      <c r="F21" s="19"/>
      <c r="J21" s="21">
        <f t="shared" si="2"/>
        <v>0.70640000000000014</v>
      </c>
      <c r="K21" s="28">
        <f t="shared" si="1"/>
        <v>4.249999999999976E-3</v>
      </c>
    </row>
    <row r="22" spans="1:11" x14ac:dyDescent="0.3">
      <c r="A22">
        <v>27.5</v>
      </c>
      <c r="B22" s="13" t="s">
        <v>27</v>
      </c>
      <c r="C22" s="8">
        <v>24.5</v>
      </c>
      <c r="D22" s="17">
        <f t="shared" si="0"/>
        <v>0.61250000000000004</v>
      </c>
      <c r="E22" s="9">
        <f t="shared" si="3"/>
        <v>140.66750000000002</v>
      </c>
      <c r="F22" s="19"/>
      <c r="J22" s="21">
        <f t="shared" si="2"/>
        <v>0.70333750000000006</v>
      </c>
      <c r="K22" s="28">
        <f t="shared" si="1"/>
        <v>3.062500000000079E-3</v>
      </c>
    </row>
    <row r="23" spans="1:11" x14ac:dyDescent="0.3">
      <c r="A23">
        <v>30</v>
      </c>
      <c r="B23" s="13" t="s">
        <v>28</v>
      </c>
      <c r="C23" s="8">
        <v>21.5</v>
      </c>
      <c r="D23" s="17">
        <f t="shared" si="0"/>
        <v>0.53749999999999998</v>
      </c>
      <c r="E23" s="9">
        <f t="shared" si="3"/>
        <v>140.13000000000002</v>
      </c>
      <c r="F23" s="19"/>
      <c r="J23" s="21">
        <f t="shared" si="2"/>
        <v>0.70065000000000011</v>
      </c>
      <c r="K23" s="28">
        <f t="shared" si="1"/>
        <v>2.6874999999999538E-3</v>
      </c>
    </row>
    <row r="24" spans="1:11" x14ac:dyDescent="0.3">
      <c r="A24">
        <v>90</v>
      </c>
      <c r="B24" s="13" t="s">
        <v>29</v>
      </c>
      <c r="C24" s="8">
        <v>93.4</v>
      </c>
      <c r="D24" s="17">
        <f t="shared" si="0"/>
        <v>2.3350000000000004</v>
      </c>
      <c r="E24" s="9">
        <f t="shared" si="3"/>
        <v>137.79500000000002</v>
      </c>
      <c r="F24" s="51">
        <f>(SUM(D14:D24)/C11)</f>
        <v>0.14802500000000002</v>
      </c>
      <c r="J24" s="21">
        <f t="shared" si="2"/>
        <v>0.68897500000000012</v>
      </c>
      <c r="K24" s="28">
        <f t="shared" si="1"/>
        <v>1.1674999999999991E-2</v>
      </c>
    </row>
    <row r="25" spans="1:11" x14ac:dyDescent="0.3">
      <c r="B25" s="37" t="s">
        <v>39</v>
      </c>
      <c r="C25" s="38">
        <v>912</v>
      </c>
      <c r="D25" s="49">
        <f>C25*0.025</f>
        <v>22.8</v>
      </c>
      <c r="E25" s="65">
        <f>E24-D25</f>
        <v>114.99500000000002</v>
      </c>
      <c r="F25" s="52">
        <f>K25</f>
        <v>0.11399999999999999</v>
      </c>
      <c r="G25" s="39" t="s">
        <v>37</v>
      </c>
      <c r="H25" s="39"/>
      <c r="J25" s="21">
        <f t="shared" si="2"/>
        <v>0.57497500000000012</v>
      </c>
      <c r="K25" s="28">
        <f>J24-J25</f>
        <v>0.11399999999999999</v>
      </c>
    </row>
    <row r="26" spans="1:11" x14ac:dyDescent="0.3">
      <c r="B26" s="44" t="s">
        <v>40</v>
      </c>
      <c r="C26" s="45">
        <v>1360</v>
      </c>
      <c r="D26" s="46">
        <f>C26*0.025</f>
        <v>34</v>
      </c>
      <c r="E26" s="50">
        <f>E25-D26</f>
        <v>80.995000000000019</v>
      </c>
      <c r="F26" s="53">
        <f>K26</f>
        <v>0.17000000000000004</v>
      </c>
      <c r="G26" s="40" t="s">
        <v>38</v>
      </c>
      <c r="H26" s="40"/>
      <c r="J26" s="21">
        <f t="shared" si="2"/>
        <v>0.40497500000000008</v>
      </c>
      <c r="K26" s="28">
        <f t="shared" ref="K26" si="4">J25-J26</f>
        <v>0.17000000000000004</v>
      </c>
    </row>
    <row r="27" spans="1:11" x14ac:dyDescent="0.3">
      <c r="B27" s="41"/>
      <c r="C27" s="42"/>
      <c r="D27" s="27"/>
      <c r="E27" s="48"/>
      <c r="F27" s="43"/>
      <c r="G27" s="27"/>
      <c r="H27" s="27"/>
      <c r="I27" s="27"/>
      <c r="J27" s="27"/>
    </row>
    <row r="28" spans="1:11" ht="15" thickBot="1" x14ac:dyDescent="0.35">
      <c r="B28" s="27"/>
      <c r="C28" s="27"/>
      <c r="D28" s="27"/>
      <c r="E28" s="54" t="s">
        <v>16</v>
      </c>
      <c r="F28" s="55">
        <f>1-SUM(F13:F26)</f>
        <v>0.40497499999999997</v>
      </c>
      <c r="G28" s="27"/>
      <c r="H28" s="27"/>
      <c r="I28" s="27"/>
      <c r="J28" s="27"/>
    </row>
    <row r="29" spans="1:11" x14ac:dyDescent="0.3">
      <c r="D29">
        <f>SUM(D13:D24)</f>
        <v>62.205000000000013</v>
      </c>
    </row>
  </sheetData>
  <mergeCells count="3">
    <mergeCell ref="K5:L5"/>
    <mergeCell ref="K6:L6"/>
    <mergeCell ref="K7:L7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8"/>
  <sheetViews>
    <sheetView workbookViewId="0">
      <selection activeCell="G9" sqref="G9"/>
    </sheetView>
  </sheetViews>
  <sheetFormatPr baseColWidth="10" defaultRowHeight="14.4" x14ac:dyDescent="0.3"/>
  <cols>
    <col min="2" max="2" width="15.88671875" customWidth="1"/>
  </cols>
  <sheetData>
    <row r="3" spans="2:7" x14ac:dyDescent="0.3">
      <c r="C3" t="s">
        <v>4</v>
      </c>
      <c r="D3" t="s">
        <v>42</v>
      </c>
      <c r="E3" t="s">
        <v>43</v>
      </c>
      <c r="F3" t="s">
        <v>44</v>
      </c>
      <c r="G3" t="s">
        <v>45</v>
      </c>
    </row>
    <row r="4" spans="2:7" x14ac:dyDescent="0.3">
      <c r="B4" t="s">
        <v>18</v>
      </c>
      <c r="C4">
        <v>0.33099999999999952</v>
      </c>
      <c r="E4">
        <v>0.20400000000000063</v>
      </c>
      <c r="F4">
        <v>0.16499999999999915</v>
      </c>
      <c r="G4">
        <v>0.19699999999999918</v>
      </c>
    </row>
    <row r="5" spans="2:7" x14ac:dyDescent="0.3">
      <c r="B5" t="s">
        <v>20</v>
      </c>
      <c r="C5">
        <v>0.76900000000000546</v>
      </c>
      <c r="D5">
        <v>0.40399999999999991</v>
      </c>
      <c r="E5">
        <v>0.47700000000000387</v>
      </c>
      <c r="F5">
        <v>0.41500000000000625</v>
      </c>
      <c r="G5">
        <v>0.49099999999999966</v>
      </c>
    </row>
    <row r="6" spans="2:7" x14ac:dyDescent="0.3">
      <c r="B6" t="s">
        <v>49</v>
      </c>
      <c r="C6">
        <f>SUM(C4:C5)</f>
        <v>1.100000000000005</v>
      </c>
      <c r="D6">
        <f t="shared" ref="D6:G6" si="0">SUM(D4:D5)</f>
        <v>0.40399999999999991</v>
      </c>
      <c r="E6">
        <f t="shared" si="0"/>
        <v>0.68100000000000449</v>
      </c>
      <c r="F6">
        <f t="shared" si="0"/>
        <v>0.5800000000000054</v>
      </c>
      <c r="G6">
        <f t="shared" si="0"/>
        <v>0.68799999999999883</v>
      </c>
    </row>
    <row r="8" spans="2:7" x14ac:dyDescent="0.3">
      <c r="B8" t="s">
        <v>48</v>
      </c>
      <c r="C8">
        <v>4465</v>
      </c>
      <c r="D8">
        <v>2919.25</v>
      </c>
      <c r="E8">
        <v>2101.25</v>
      </c>
      <c r="F8">
        <v>1870.15</v>
      </c>
      <c r="G8">
        <v>2683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3"/>
  <sheetViews>
    <sheetView tabSelected="1" topLeftCell="A5" workbookViewId="0">
      <selection activeCell="C26" sqref="C26:C32"/>
    </sheetView>
  </sheetViews>
  <sheetFormatPr baseColWidth="10" defaultRowHeight="14.4" x14ac:dyDescent="0.3"/>
  <cols>
    <col min="19" max="19" width="23" customWidth="1"/>
  </cols>
  <sheetData>
    <row r="1" spans="2:20" ht="15" thickBot="1" x14ac:dyDescent="0.35"/>
    <row r="2" spans="2:20" x14ac:dyDescent="0.3">
      <c r="C2" t="s">
        <v>66</v>
      </c>
      <c r="I2" t="s">
        <v>65</v>
      </c>
      <c r="M2" t="s">
        <v>70</v>
      </c>
      <c r="S2" s="76" t="s">
        <v>71</v>
      </c>
      <c r="T2" s="77" t="s">
        <v>72</v>
      </c>
    </row>
    <row r="3" spans="2:20" x14ac:dyDescent="0.3">
      <c r="B3" t="s">
        <v>62</v>
      </c>
      <c r="C3" s="4" t="s">
        <v>4</v>
      </c>
      <c r="D3" s="71" t="s">
        <v>42</v>
      </c>
      <c r="E3" s="71" t="s">
        <v>43</v>
      </c>
      <c r="F3" s="71" t="s">
        <v>44</v>
      </c>
      <c r="G3" s="5" t="s">
        <v>45</v>
      </c>
      <c r="I3" s="4" t="s">
        <v>62</v>
      </c>
      <c r="J3" s="71" t="s">
        <v>63</v>
      </c>
      <c r="K3" s="5" t="s">
        <v>64</v>
      </c>
      <c r="M3" s="4" t="s">
        <v>4</v>
      </c>
      <c r="N3" s="71" t="s">
        <v>42</v>
      </c>
      <c r="O3" s="71" t="s">
        <v>43</v>
      </c>
      <c r="P3" s="71" t="s">
        <v>44</v>
      </c>
      <c r="Q3" s="71" t="s">
        <v>45</v>
      </c>
      <c r="R3" s="5"/>
      <c r="S3" s="81"/>
      <c r="T3" s="78"/>
    </row>
    <row r="4" spans="2:20" x14ac:dyDescent="0.3">
      <c r="B4">
        <v>0</v>
      </c>
      <c r="C4" s="6">
        <v>1</v>
      </c>
      <c r="D4" s="72">
        <v>1</v>
      </c>
      <c r="E4" s="72">
        <v>1</v>
      </c>
      <c r="F4" s="72">
        <v>1</v>
      </c>
      <c r="G4" s="9">
        <v>1</v>
      </c>
      <c r="I4" s="6">
        <v>0</v>
      </c>
      <c r="J4" s="72">
        <v>1</v>
      </c>
      <c r="K4" s="9">
        <v>0</v>
      </c>
      <c r="M4" s="84">
        <f>1-C5</f>
        <v>3.7449999999999983E-2</v>
      </c>
      <c r="N4" s="85">
        <f t="shared" ref="N4:Q4" si="0">1-D5</f>
        <v>3.5139999999999949E-2</v>
      </c>
      <c r="O4" s="85">
        <f t="shared" si="0"/>
        <v>4.388000000000003E-2</v>
      </c>
      <c r="P4" s="85">
        <f t="shared" si="0"/>
        <v>5.1529999999999965E-2</v>
      </c>
      <c r="Q4" s="85">
        <f t="shared" si="0"/>
        <v>5.325000000000002E-2</v>
      </c>
      <c r="R4" s="88" t="s">
        <v>67</v>
      </c>
      <c r="S4" s="82">
        <f>AVERAGE(M4:Q4)</f>
        <v>4.4249999999999991E-2</v>
      </c>
      <c r="T4" s="79">
        <f>_xlfn.STDEV.P(M4:Q4)</f>
        <v>7.2576497573250669E-3</v>
      </c>
    </row>
    <row r="5" spans="2:20" x14ac:dyDescent="0.3">
      <c r="B5">
        <v>5</v>
      </c>
      <c r="C5" s="6">
        <v>0.96255000000000002</v>
      </c>
      <c r="D5" s="72">
        <v>0.96486000000000005</v>
      </c>
      <c r="E5" s="72">
        <v>0.95611999999999997</v>
      </c>
      <c r="F5" s="72">
        <v>0.94847000000000004</v>
      </c>
      <c r="G5" s="9">
        <v>0.94674999999999998</v>
      </c>
      <c r="I5" s="6">
        <v>5</v>
      </c>
      <c r="J5" s="72">
        <v>0.95574999999999999</v>
      </c>
      <c r="K5" s="9">
        <v>7.26E-3</v>
      </c>
      <c r="M5" s="6"/>
      <c r="N5" s="72"/>
      <c r="O5" s="72"/>
      <c r="P5" s="72"/>
      <c r="Q5" s="72"/>
      <c r="R5" s="88"/>
      <c r="S5" s="81"/>
      <c r="T5" s="79"/>
    </row>
    <row r="6" spans="2:20" x14ac:dyDescent="0.3">
      <c r="B6">
        <v>7.5</v>
      </c>
      <c r="C6" s="6">
        <v>0.65766999999999998</v>
      </c>
      <c r="D6" s="72">
        <v>0.6835</v>
      </c>
      <c r="E6" s="72">
        <v>0.57652999999999999</v>
      </c>
      <c r="F6" s="72">
        <v>0.53552999999999995</v>
      </c>
      <c r="G6" s="9">
        <v>0.70818999999999999</v>
      </c>
      <c r="I6" s="6">
        <v>7.5</v>
      </c>
      <c r="J6" s="72">
        <v>0.63227999999999995</v>
      </c>
      <c r="K6" s="9">
        <v>6.5570000000000003E-2</v>
      </c>
      <c r="M6" s="84">
        <f>C5-C16</f>
        <v>0.66515000000000002</v>
      </c>
      <c r="N6" s="85">
        <f t="shared" ref="N6:Q6" si="1">D5-D16</f>
        <v>0.62458000000000002</v>
      </c>
      <c r="O6" s="85">
        <f t="shared" si="1"/>
        <v>0.81376999999999999</v>
      </c>
      <c r="P6" s="85">
        <f t="shared" si="1"/>
        <v>0.82854000000000005</v>
      </c>
      <c r="Q6" s="85">
        <f t="shared" si="1"/>
        <v>0.5932599999999999</v>
      </c>
      <c r="R6" s="88" t="s">
        <v>68</v>
      </c>
      <c r="S6" s="82">
        <f>AVERAGE(M6:Q6)</f>
        <v>0.70505999999999991</v>
      </c>
      <c r="T6" s="79">
        <f>_xlfn.STDEV.P(M6:Q6)</f>
        <v>9.7605586930258337E-2</v>
      </c>
    </row>
    <row r="7" spans="2:20" x14ac:dyDescent="0.3">
      <c r="B7">
        <v>10</v>
      </c>
      <c r="C7" s="6">
        <v>0.51290000000000002</v>
      </c>
      <c r="D7" s="72">
        <v>0.55186000000000002</v>
      </c>
      <c r="E7" s="72">
        <v>0.41020000000000001</v>
      </c>
      <c r="F7" s="72">
        <v>0.39200000000000002</v>
      </c>
      <c r="G7" s="9">
        <v>0.56842999999999999</v>
      </c>
      <c r="I7" s="6">
        <v>10</v>
      </c>
      <c r="J7" s="72">
        <v>0.48708000000000001</v>
      </c>
      <c r="K7" s="9">
        <v>7.2709999999999997E-2</v>
      </c>
      <c r="M7" s="6"/>
      <c r="N7" s="72"/>
      <c r="O7" s="72"/>
      <c r="P7" s="72"/>
      <c r="Q7" s="72"/>
      <c r="R7" s="88"/>
      <c r="S7" s="81"/>
      <c r="T7" s="79"/>
    </row>
    <row r="8" spans="2:20" x14ac:dyDescent="0.3">
      <c r="B8">
        <v>12.5</v>
      </c>
      <c r="C8" s="6">
        <v>0.44208999999999998</v>
      </c>
      <c r="D8" s="72">
        <v>0.48914999999999997</v>
      </c>
      <c r="E8" s="72">
        <v>0.34449000000000002</v>
      </c>
      <c r="F8" s="72">
        <v>0.33165</v>
      </c>
      <c r="G8" s="9">
        <v>0.50927999999999995</v>
      </c>
      <c r="I8" s="6">
        <v>12.5</v>
      </c>
      <c r="J8" s="72">
        <v>0.42332999999999998</v>
      </c>
      <c r="K8" s="9">
        <v>7.3069999999999996E-2</v>
      </c>
      <c r="M8" s="84">
        <f>C16-C17</f>
        <v>8.3400000000000002E-2</v>
      </c>
      <c r="N8" s="85">
        <f t="shared" ref="N8:Q8" si="2">D16-D17</f>
        <v>6.4280000000000004E-2</v>
      </c>
      <c r="O8" s="85">
        <f t="shared" si="2"/>
        <v>0.12653</v>
      </c>
      <c r="P8" s="85">
        <f t="shared" si="2"/>
        <v>0.13929</v>
      </c>
      <c r="Q8" s="85">
        <f t="shared" si="2"/>
        <v>8.6260000000000003E-2</v>
      </c>
      <c r="R8" s="88" t="s">
        <v>69</v>
      </c>
      <c r="S8" s="82">
        <f>AVERAGE(M8:Q8)</f>
        <v>9.9951999999999999E-2</v>
      </c>
      <c r="T8" s="79">
        <f>_xlfn.STDEV.P(M8:Q8)</f>
        <v>2.8241102952965592E-2</v>
      </c>
    </row>
    <row r="9" spans="2:20" x14ac:dyDescent="0.3">
      <c r="B9">
        <v>15</v>
      </c>
      <c r="C9" s="6">
        <v>0.40817999999999999</v>
      </c>
      <c r="D9" s="72">
        <v>0.45062000000000002</v>
      </c>
      <c r="E9" s="72">
        <v>0.30397999999999997</v>
      </c>
      <c r="F9" s="72">
        <v>0.29035</v>
      </c>
      <c r="G9" s="9">
        <v>0.47499999999999998</v>
      </c>
      <c r="I9" s="6">
        <v>15</v>
      </c>
      <c r="J9" s="72">
        <v>0.38562999999999997</v>
      </c>
      <c r="K9" s="9">
        <v>7.5450000000000003E-2</v>
      </c>
      <c r="M9" s="6"/>
      <c r="N9" s="72"/>
      <c r="O9" s="72"/>
      <c r="P9" s="72"/>
      <c r="Q9" s="72"/>
      <c r="R9" s="88"/>
      <c r="S9" s="81"/>
      <c r="T9" s="79"/>
    </row>
    <row r="10" spans="2:20" ht="15" thickBot="1" x14ac:dyDescent="0.35">
      <c r="B10">
        <v>17.5</v>
      </c>
      <c r="C10" s="6">
        <v>0.38423000000000002</v>
      </c>
      <c r="D10" s="72">
        <v>0.42688999999999999</v>
      </c>
      <c r="E10" s="72">
        <v>0.27827000000000002</v>
      </c>
      <c r="F10" s="72">
        <v>0.26188</v>
      </c>
      <c r="G10" s="9">
        <v>0.45006000000000002</v>
      </c>
      <c r="I10" s="6">
        <v>17.5</v>
      </c>
      <c r="J10" s="72">
        <v>0.36026999999999998</v>
      </c>
      <c r="K10" s="9">
        <v>7.6780000000000001E-2</v>
      </c>
      <c r="M10" s="86">
        <f>C17-C18</f>
        <v>6.0000000000000053E-3</v>
      </c>
      <c r="N10" s="87">
        <f t="shared" ref="N10:Q10" si="3">D17-D18</f>
        <v>8.0000000000000071E-3</v>
      </c>
      <c r="O10" s="87">
        <f t="shared" si="3"/>
        <v>1.3510000000000001E-2</v>
      </c>
      <c r="P10" s="87">
        <f t="shared" si="3"/>
        <v>1.2800000000000002E-2</v>
      </c>
      <c r="Q10" s="87">
        <f t="shared" si="3"/>
        <v>3.374000000000002E-2</v>
      </c>
      <c r="R10" s="89" t="s">
        <v>20</v>
      </c>
      <c r="S10" s="83">
        <f>AVERAGE(M10:Q10)</f>
        <v>1.4810000000000007E-2</v>
      </c>
      <c r="T10" s="80">
        <f>_xlfn.STDEV.P(M10:Q10)</f>
        <v>9.8799514168846046E-3</v>
      </c>
    </row>
    <row r="11" spans="2:20" x14ac:dyDescent="0.3">
      <c r="B11">
        <v>20</v>
      </c>
      <c r="C11" s="6">
        <v>0.37046000000000001</v>
      </c>
      <c r="D11" s="72">
        <v>0.41</v>
      </c>
      <c r="E11" s="72">
        <v>0.25285999999999997</v>
      </c>
      <c r="F11" s="72">
        <v>0.23824000000000001</v>
      </c>
      <c r="G11" s="9">
        <v>0.43596000000000001</v>
      </c>
      <c r="I11" s="6">
        <v>20</v>
      </c>
      <c r="J11" s="72">
        <v>0.34150000000000003</v>
      </c>
      <c r="K11" s="9">
        <v>8.1210000000000004E-2</v>
      </c>
    </row>
    <row r="12" spans="2:20" x14ac:dyDescent="0.3">
      <c r="B12">
        <v>22.5</v>
      </c>
      <c r="C12" s="6">
        <v>0.35696</v>
      </c>
      <c r="D12" s="72">
        <v>0.39479999999999998</v>
      </c>
      <c r="E12" s="72">
        <v>0.2351</v>
      </c>
      <c r="F12" s="72">
        <v>0.21965000000000001</v>
      </c>
      <c r="G12" s="9">
        <v>0.42253000000000002</v>
      </c>
      <c r="I12" s="6">
        <v>22.5</v>
      </c>
      <c r="J12" s="72">
        <v>0.32580999999999999</v>
      </c>
      <c r="K12" s="9">
        <v>8.3169999999999994E-2</v>
      </c>
      <c r="R12" s="90" t="s">
        <v>61</v>
      </c>
      <c r="S12" s="35">
        <f>1-SUM(S4:S10)</f>
        <v>0.13592800000000005</v>
      </c>
      <c r="T12" s="35"/>
    </row>
    <row r="13" spans="2:20" x14ac:dyDescent="0.3">
      <c r="B13">
        <v>25</v>
      </c>
      <c r="C13" s="6">
        <v>0.34905999999999998</v>
      </c>
      <c r="D13" s="72">
        <v>0.38616</v>
      </c>
      <c r="E13" s="72">
        <v>0.22081999999999999</v>
      </c>
      <c r="F13" s="72">
        <v>0.20588000000000001</v>
      </c>
      <c r="G13" s="9">
        <v>0.41077999999999998</v>
      </c>
      <c r="I13" s="6">
        <v>25</v>
      </c>
      <c r="J13" s="72">
        <v>0.31453999999999999</v>
      </c>
      <c r="K13" s="9">
        <v>8.5059999999999997E-2</v>
      </c>
    </row>
    <row r="14" spans="2:20" x14ac:dyDescent="0.3">
      <c r="B14">
        <v>27.5</v>
      </c>
      <c r="C14" s="6">
        <v>0.33816000000000002</v>
      </c>
      <c r="D14" s="72">
        <v>0.37605</v>
      </c>
      <c r="E14" s="72">
        <v>0.20907999999999999</v>
      </c>
      <c r="F14" s="72">
        <v>0.19281999999999999</v>
      </c>
      <c r="G14" s="9">
        <v>0.4012</v>
      </c>
      <c r="I14" s="6">
        <v>27.5</v>
      </c>
      <c r="J14" s="72">
        <v>0.30346000000000001</v>
      </c>
      <c r="K14" s="9">
        <v>8.6230000000000001E-2</v>
      </c>
    </row>
    <row r="15" spans="2:20" x14ac:dyDescent="0.3">
      <c r="B15">
        <v>30</v>
      </c>
      <c r="C15" s="6">
        <v>0.33006000000000002</v>
      </c>
      <c r="D15" s="72">
        <v>0.36976999999999999</v>
      </c>
      <c r="E15" s="72">
        <v>0.19500000000000001</v>
      </c>
      <c r="F15" s="72">
        <v>0.18121999999999999</v>
      </c>
      <c r="G15" s="9">
        <v>0.39119999999999999</v>
      </c>
      <c r="I15" s="6">
        <v>30</v>
      </c>
      <c r="J15" s="72">
        <v>0.29344999999999999</v>
      </c>
      <c r="K15" s="9">
        <v>8.8330000000000006E-2</v>
      </c>
      <c r="M15" t="s">
        <v>74</v>
      </c>
      <c r="S15" s="72" t="s">
        <v>75</v>
      </c>
      <c r="T15" s="9" t="s">
        <v>72</v>
      </c>
    </row>
    <row r="16" spans="2:20" x14ac:dyDescent="0.3">
      <c r="B16">
        <v>90</v>
      </c>
      <c r="C16" s="6">
        <v>0.2974</v>
      </c>
      <c r="D16" s="72">
        <v>0.34028000000000003</v>
      </c>
      <c r="E16" s="72">
        <v>0.14235</v>
      </c>
      <c r="F16" s="72">
        <v>0.11992999999999999</v>
      </c>
      <c r="G16" s="9">
        <v>0.35349000000000003</v>
      </c>
      <c r="I16" s="6">
        <v>90</v>
      </c>
      <c r="J16" s="72">
        <v>0.25069000000000002</v>
      </c>
      <c r="K16" s="9">
        <v>9.9610000000000004E-2</v>
      </c>
      <c r="M16" s="4" t="s">
        <v>4</v>
      </c>
      <c r="N16" s="71" t="s">
        <v>42</v>
      </c>
      <c r="O16" s="71" t="s">
        <v>43</v>
      </c>
      <c r="P16" s="71" t="s">
        <v>44</v>
      </c>
      <c r="Q16" s="71" t="s">
        <v>45</v>
      </c>
      <c r="R16" s="71"/>
      <c r="S16" s="71"/>
      <c r="T16" s="5"/>
    </row>
    <row r="17" spans="2:20" x14ac:dyDescent="0.3">
      <c r="B17">
        <v>100</v>
      </c>
      <c r="C17" s="6">
        <v>0.214</v>
      </c>
      <c r="D17" s="72">
        <v>0.27600000000000002</v>
      </c>
      <c r="E17" s="72">
        <v>1.5820000000000001E-2</v>
      </c>
      <c r="F17" s="72">
        <v>-1.9359999999999999E-2</v>
      </c>
      <c r="G17" s="9">
        <v>0.26723000000000002</v>
      </c>
      <c r="I17" s="6">
        <v>100</v>
      </c>
      <c r="J17" s="72">
        <v>0.15074000000000001</v>
      </c>
      <c r="K17" s="9">
        <v>0.12681000000000001</v>
      </c>
      <c r="M17" s="96">
        <v>0.8044303797468354</v>
      </c>
      <c r="N17" s="95">
        <v>0.62323943661971826</v>
      </c>
      <c r="O17" s="95">
        <v>0.3462897526501767</v>
      </c>
      <c r="P17" s="95">
        <v>0.30141843971631205</v>
      </c>
      <c r="Q17" s="97">
        <v>0.57638888888888884</v>
      </c>
      <c r="R17" s="98" t="s">
        <v>76</v>
      </c>
      <c r="S17" s="28">
        <f>AVERAGE(M17:Q17)</f>
        <v>0.53035337952438621</v>
      </c>
      <c r="T17" s="21">
        <f>_xlfn.STDEV.P(M17:Q17)</f>
        <v>0.18555641469866657</v>
      </c>
    </row>
    <row r="18" spans="2:20" x14ac:dyDescent="0.3">
      <c r="B18">
        <v>110</v>
      </c>
      <c r="C18" s="73">
        <v>0.20799999999999999</v>
      </c>
      <c r="D18" s="74">
        <v>0.26800000000000002</v>
      </c>
      <c r="E18" s="74">
        <v>2.31E-3</v>
      </c>
      <c r="F18" s="74">
        <v>-3.2160000000000001E-2</v>
      </c>
      <c r="G18" s="75">
        <v>0.23349</v>
      </c>
      <c r="I18" s="73">
        <v>110</v>
      </c>
      <c r="J18" s="74">
        <v>0.13593</v>
      </c>
      <c r="K18" s="75">
        <v>0.12511</v>
      </c>
      <c r="M18" s="73"/>
      <c r="N18" s="74"/>
      <c r="O18" s="74"/>
      <c r="P18" s="74"/>
      <c r="Q18" s="74"/>
      <c r="R18" s="74"/>
      <c r="S18" s="74"/>
      <c r="T18" s="75"/>
    </row>
    <row r="21" spans="2:20" x14ac:dyDescent="0.3">
      <c r="C21">
        <f>C14-C15</f>
        <v>8.0999999999999961E-3</v>
      </c>
      <c r="D21">
        <f t="shared" ref="D21:G21" si="4">D14-D15</f>
        <v>6.2800000000000078E-3</v>
      </c>
      <c r="E21">
        <f t="shared" si="4"/>
        <v>1.4079999999999981E-2</v>
      </c>
      <c r="F21">
        <f t="shared" si="4"/>
        <v>1.1599999999999999E-2</v>
      </c>
      <c r="G21">
        <f t="shared" si="4"/>
        <v>1.0000000000000009E-2</v>
      </c>
      <c r="H21">
        <f>AVERAGE(C21:G21)</f>
        <v>1.0011999999999998E-2</v>
      </c>
      <c r="I21">
        <f>_xlfn.STDEV.P(C21:G21)</f>
        <v>2.7075479681807966E-3</v>
      </c>
    </row>
    <row r="23" spans="2:20" x14ac:dyDescent="0.3">
      <c r="B23" t="s">
        <v>77</v>
      </c>
      <c r="C23">
        <f>C15-C16</f>
        <v>3.2660000000000022E-2</v>
      </c>
      <c r="D23">
        <f t="shared" ref="D23:G23" si="5">D15-D16</f>
        <v>2.9489999999999961E-2</v>
      </c>
      <c r="E23">
        <f t="shared" si="5"/>
        <v>5.2650000000000002E-2</v>
      </c>
      <c r="F23">
        <f t="shared" si="5"/>
        <v>6.1289999999999997E-2</v>
      </c>
      <c r="G23">
        <f t="shared" si="5"/>
        <v>3.7709999999999966E-2</v>
      </c>
      <c r="H23">
        <f>AVERAGE(C23:G23)</f>
        <v>4.2759999999999986E-2</v>
      </c>
      <c r="I23">
        <f>_xlfn.STDEV.P(C23:G23)</f>
        <v>1.2204740062778921E-2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8</vt:i4>
      </vt:variant>
    </vt:vector>
  </HeadingPairs>
  <TitlesOfParts>
    <vt:vector size="8" baseType="lpstr">
      <vt:lpstr>A</vt:lpstr>
      <vt:lpstr>B</vt:lpstr>
      <vt:lpstr>C</vt:lpstr>
      <vt:lpstr>D</vt:lpstr>
      <vt:lpstr>E</vt:lpstr>
      <vt:lpstr>F</vt:lpstr>
      <vt:lpstr>Biomassen</vt:lpstr>
      <vt:lpstr>Gesamtauswertung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Klotzsche, Max (FWOB) - 137397</dc:creator>
  <cp:lastModifiedBy>Klotzsche, Max (FWOB) - 137397</cp:lastModifiedBy>
  <dcterms:created xsi:type="dcterms:W3CDTF">2023-09-13T09:28:44Z</dcterms:created>
  <dcterms:modified xsi:type="dcterms:W3CDTF">2025-01-22T12:28:36Z</dcterms:modified>
</cp:coreProperties>
</file>