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fwia/MessDaten/6MV_K1/2022/Schmidt/2022_03_09/"/>
    </mc:Choice>
  </mc:AlternateContent>
  <bookViews>
    <workbookView xWindow="5560" yWindow="540" windowWidth="28560" windowHeight="17600" tabRatio="500" activeTab="2"/>
  </bookViews>
  <sheets>
    <sheet name="Experiment" sheetId="5" r:id="rId1"/>
    <sheet name="Samples" sheetId="4" r:id="rId2"/>
    <sheet name="Measurements" sheetId="1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N6" i="1"/>
  <c r="K16" i="1"/>
  <c r="H5" i="1"/>
  <c r="N7" i="1"/>
  <c r="U19" i="1"/>
  <c r="T19" i="1"/>
  <c r="V19" i="1"/>
  <c r="M19" i="1"/>
  <c r="U20" i="1"/>
  <c r="T20" i="1"/>
  <c r="V20" i="1"/>
  <c r="M20" i="1"/>
  <c r="N19" i="1"/>
  <c r="J19" i="1"/>
  <c r="N20" i="1"/>
  <c r="J20" i="1"/>
  <c r="J15" i="1"/>
  <c r="K11" i="4"/>
  <c r="M11" i="4"/>
  <c r="N11" i="4"/>
  <c r="T18" i="1"/>
  <c r="U18" i="1"/>
  <c r="V18" i="1"/>
  <c r="M18" i="1"/>
  <c r="N18" i="1"/>
  <c r="J18" i="1"/>
</calcChain>
</file>

<file path=xl/sharedStrings.xml><?xml version="1.0" encoding="utf-8"?>
<sst xmlns="http://schemas.openxmlformats.org/spreadsheetml/2006/main" count="103" uniqueCount="84">
  <si>
    <t>Date</t>
  </si>
  <si>
    <t>Sample owner</t>
  </si>
  <si>
    <t>Samples</t>
  </si>
  <si>
    <t>Name</t>
  </si>
  <si>
    <t>Layer</t>
  </si>
  <si>
    <t>S</t>
  </si>
  <si>
    <t>Stopping</t>
  </si>
  <si>
    <t>g/cm^3</t>
  </si>
  <si>
    <t>eV/(E15at/cm^2)</t>
  </si>
  <si>
    <t>keV/nm</t>
  </si>
  <si>
    <t>Mass</t>
  </si>
  <si>
    <t>denstity</t>
  </si>
  <si>
    <t>cross sect.</t>
  </si>
  <si>
    <t>power</t>
  </si>
  <si>
    <t>Number</t>
  </si>
  <si>
    <t>Compostion</t>
  </si>
  <si>
    <t>nm</t>
  </si>
  <si>
    <t>keV</t>
  </si>
  <si>
    <t>E_Begin</t>
  </si>
  <si>
    <t>E_End</t>
  </si>
  <si>
    <t>d_Begin</t>
  </si>
  <si>
    <t>d_End</t>
  </si>
  <si>
    <t>E</t>
  </si>
  <si>
    <t>desired depth (nm)</t>
  </si>
  <si>
    <t>E(d)</t>
  </si>
  <si>
    <t>of Layers</t>
  </si>
  <si>
    <t>power*</t>
  </si>
  <si>
    <t>Experimental Setup</t>
  </si>
  <si>
    <t>Measurements</t>
  </si>
  <si>
    <t>General Remarks</t>
  </si>
  <si>
    <t>15N</t>
  </si>
  <si>
    <t>Operator</t>
  </si>
  <si>
    <t>Task description</t>
  </si>
  <si>
    <t>Measurement ROI</t>
  </si>
  <si>
    <t>Monitor ROI</t>
  </si>
  <si>
    <t>Background (cnt/s)</t>
  </si>
  <si>
    <t>Energy Offset (keV)</t>
  </si>
  <si>
    <t>Aperture (mm)</t>
  </si>
  <si>
    <t>Ion current (nA)</t>
  </si>
  <si>
    <t>Remarks</t>
  </si>
  <si>
    <t>Experimentalist</t>
  </si>
  <si>
    <t>Primary ions</t>
  </si>
  <si>
    <t>Charge state</t>
  </si>
  <si>
    <t>Incident angle (°)</t>
  </si>
  <si>
    <t>Sample</t>
  </si>
  <si>
    <t>Counts on Standard (per 10.000 Mon.-Pulses)</t>
  </si>
  <si>
    <t>c_H Standard (at%)</t>
  </si>
  <si>
    <t>Method</t>
  </si>
  <si>
    <t>Counts</t>
  </si>
  <si>
    <t>c_H</t>
  </si>
  <si>
    <t>c_H error</t>
  </si>
  <si>
    <t>Depth</t>
  </si>
  <si>
    <t>file</t>
  </si>
  <si>
    <t>AVR</t>
  </si>
  <si>
    <t>E_op</t>
  </si>
  <si>
    <t>eV/E15/at/cm2</t>
  </si>
  <si>
    <t>/10.000</t>
  </si>
  <si>
    <t>Mon.-Pulses</t>
  </si>
  <si>
    <t>at%</t>
  </si>
  <si>
    <t>S_Standard (eV/(10^15 at/cm^2))</t>
  </si>
  <si>
    <t>S_H (eV/(10^15 at/cm^2))</t>
  </si>
  <si>
    <t>A_St</t>
  </si>
  <si>
    <t>M_H</t>
  </si>
  <si>
    <t>M_F</t>
  </si>
  <si>
    <t>V</t>
  </si>
  <si>
    <t>X</t>
  </si>
  <si>
    <t>*corrected for AOI</t>
  </si>
  <si>
    <t>400-550</t>
  </si>
  <si>
    <t>250-950</t>
  </si>
  <si>
    <t>A26</t>
  </si>
  <si>
    <t>x</t>
  </si>
  <si>
    <t>z</t>
  </si>
  <si>
    <t>U</t>
  </si>
  <si>
    <t>kV</t>
  </si>
  <si>
    <t>None.</t>
  </si>
  <si>
    <t>R. Heller</t>
  </si>
  <si>
    <t>001.txt</t>
  </si>
  <si>
    <t>003.txt</t>
  </si>
  <si>
    <t>002.txt</t>
  </si>
  <si>
    <t>LiNbO3</t>
  </si>
  <si>
    <t>H. Schmidt</t>
  </si>
  <si>
    <t>R. Mester</t>
  </si>
  <si>
    <t>Measure H-depthprofiles for one LiNbO3 sample</t>
  </si>
  <si>
    <t>PE102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</si>
</sst>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E+00"/>
  </numFmts>
  <fonts count="25" x14ac:knownFonts="1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Calibri"/>
      <scheme val="minor"/>
    </font>
    <font>
      <sz val="10"/>
      <color theme="9" tint="-0.249977111117893"/>
      <name val="Calibri"/>
      <scheme val="minor"/>
    </font>
    <font>
      <b/>
      <sz val="10"/>
      <color theme="0"/>
      <name val="Calibri"/>
      <scheme val="minor"/>
    </font>
    <font>
      <i/>
      <sz val="10"/>
      <color theme="0" tint="-0.249977111117893"/>
      <name val="Calibri"/>
      <scheme val="minor"/>
    </font>
    <font>
      <i/>
      <sz val="8"/>
      <color theme="0" tint="-0.249977111117893"/>
      <name val="Calibri"/>
      <scheme val="minor"/>
    </font>
    <font>
      <b/>
      <sz val="20"/>
      <color theme="1"/>
      <name val="Calibri"/>
      <scheme val="minor"/>
    </font>
    <font>
      <b/>
      <sz val="20"/>
      <color rgb="FF000000"/>
      <name val="Calibri"/>
      <scheme val="minor"/>
    </font>
    <font>
      <sz val="10"/>
      <color theme="0" tint="-0.249977111117893"/>
      <name val="Calibri"/>
      <scheme val="minor"/>
    </font>
    <font>
      <sz val="8"/>
      <color theme="0" tint="-0.249977111117893"/>
      <name val="Calibri"/>
      <scheme val="minor"/>
    </font>
    <font>
      <sz val="10"/>
      <color theme="0" tint="-0.499984740745262"/>
      <name val="Calibri"/>
      <scheme val="minor"/>
    </font>
    <font>
      <sz val="8"/>
      <color theme="0" tint="-0.499984740745262"/>
      <name val="Calibri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1" fontId="8" fillId="5" borderId="9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2" fontId="8" fillId="5" borderId="10" xfId="0" applyNumberFormat="1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/>
    <xf numFmtId="164" fontId="3" fillId="0" borderId="0" xfId="0" applyNumberFormat="1" applyFont="1"/>
    <xf numFmtId="164" fontId="13" fillId="0" borderId="0" xfId="0" applyNumberFormat="1" applyFont="1" applyFill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3" fillId="4" borderId="0" xfId="0" applyNumberFormat="1" applyFont="1" applyFill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0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/>
    </xf>
    <xf numFmtId="1" fontId="22" fillId="11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2" fontId="3" fillId="1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7" fillId="6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3" fillId="14" borderId="0" xfId="0" applyFont="1" applyFill="1" applyAlignment="1">
      <alignment horizontal="center"/>
    </xf>
    <xf numFmtId="0" fontId="17" fillId="14" borderId="0" xfId="0" applyFont="1" applyFill="1"/>
    <xf numFmtId="0" fontId="23" fillId="14" borderId="0" xfId="0" applyFont="1" applyFill="1" applyAlignment="1">
      <alignment horizontal="center"/>
    </xf>
    <xf numFmtId="2" fontId="23" fillId="14" borderId="0" xfId="0" applyNumberFormat="1" applyFont="1" applyFill="1" applyAlignment="1">
      <alignment horizontal="center"/>
    </xf>
    <xf numFmtId="1" fontId="6" fillId="14" borderId="0" xfId="0" applyNumberFormat="1" applyFont="1" applyFill="1" applyAlignment="1">
      <alignment horizontal="center"/>
    </xf>
    <xf numFmtId="0" fontId="24" fillId="13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9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zoomScale="120" zoomScaleNormal="120" zoomScalePageLayoutView="120" workbookViewId="0">
      <selection activeCell="I23" sqref="I23"/>
    </sheetView>
  </sheetViews>
  <sheetFormatPr baseColWidth="10" defaultColWidth="11" defaultRowHeight="16" x14ac:dyDescent="0.2"/>
  <cols>
    <col min="1" max="1" width="6.1640625" customWidth="1"/>
    <col min="2" max="2" width="14.6640625" style="2" customWidth="1"/>
    <col min="3" max="3" width="7.1640625" style="2" bestFit="1" customWidth="1"/>
    <col min="4" max="4" width="5" style="2" bestFit="1" customWidth="1"/>
    <col min="5" max="5" width="9.5" style="2" bestFit="1" customWidth="1"/>
    <col min="6" max="6" width="9.5" style="2" customWidth="1"/>
    <col min="7" max="7" width="7.83203125" style="2" bestFit="1" customWidth="1"/>
    <col min="8" max="8" width="6.83203125" style="2" bestFit="1" customWidth="1"/>
    <col min="9" max="9" width="10.5" style="2" bestFit="1" customWidth="1"/>
    <col min="10" max="10" width="7.33203125" style="2" bestFit="1" customWidth="1"/>
    <col min="11" max="11" width="7.33203125" style="3" bestFit="1" customWidth="1"/>
    <col min="12" max="12" width="6.6640625" style="4" bestFit="1" customWidth="1"/>
    <col min="13" max="13" width="5.5" style="4" bestFit="1" customWidth="1"/>
    <col min="14" max="14" width="4.6640625" style="4" bestFit="1" customWidth="1"/>
  </cols>
  <sheetData>
    <row r="2" spans="2:14" x14ac:dyDescent="0.2">
      <c r="B2" s="91" t="s">
        <v>29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x14ac:dyDescent="0.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2:14" x14ac:dyDescent="0.25">
      <c r="B5" s="2" t="s">
        <v>0</v>
      </c>
      <c r="C5" s="92">
        <v>44629</v>
      </c>
      <c r="D5" s="92"/>
      <c r="E5" s="92"/>
      <c r="G5" s="93" t="s">
        <v>31</v>
      </c>
      <c r="H5" s="93"/>
      <c r="I5" s="94" t="s">
        <v>81</v>
      </c>
      <c r="J5" s="90"/>
      <c r="K5" s="90"/>
      <c r="L5" s="90"/>
      <c r="M5" s="90"/>
      <c r="N5" s="90"/>
    </row>
    <row r="6" spans="2:14" x14ac:dyDescent="0.25">
      <c r="B6" s="2" t="s">
        <v>1</v>
      </c>
      <c r="C6" s="94" t="s">
        <v>80</v>
      </c>
      <c r="D6" s="90"/>
      <c r="E6" s="90"/>
      <c r="G6" s="93" t="s">
        <v>40</v>
      </c>
      <c r="H6" s="93"/>
      <c r="I6" s="90" t="s">
        <v>75</v>
      </c>
      <c r="J6" s="90"/>
      <c r="K6" s="90"/>
      <c r="L6" s="90"/>
      <c r="M6" s="90"/>
      <c r="N6" s="90"/>
    </row>
    <row r="7" spans="2:14" x14ac:dyDescent="0.25">
      <c r="C7" s="5"/>
      <c r="D7" s="5"/>
      <c r="E7" s="5"/>
    </row>
    <row r="8" spans="2:14" x14ac:dyDescent="0.2">
      <c r="B8" s="2" t="s">
        <v>41</v>
      </c>
      <c r="C8" s="87" t="s">
        <v>30</v>
      </c>
      <c r="D8" s="87"/>
      <c r="E8" s="87"/>
      <c r="G8" s="2" t="s">
        <v>32</v>
      </c>
      <c r="I8" s="88" t="s">
        <v>82</v>
      </c>
      <c r="J8" s="89"/>
      <c r="K8" s="89"/>
      <c r="L8" s="89"/>
      <c r="M8" s="89"/>
      <c r="N8" s="89"/>
    </row>
    <row r="9" spans="2:14" x14ac:dyDescent="0.2">
      <c r="B9" s="2" t="s">
        <v>42</v>
      </c>
      <c r="C9" s="90">
        <v>2</v>
      </c>
      <c r="D9" s="90"/>
      <c r="E9" s="90"/>
      <c r="I9" s="89"/>
      <c r="J9" s="89"/>
      <c r="K9" s="89"/>
      <c r="L9" s="89"/>
      <c r="M9" s="89"/>
      <c r="N9" s="89"/>
    </row>
    <row r="10" spans="2:14" x14ac:dyDescent="0.2">
      <c r="B10" s="2" t="s">
        <v>43</v>
      </c>
      <c r="C10" s="90">
        <v>45</v>
      </c>
      <c r="D10" s="90"/>
      <c r="E10" s="90"/>
      <c r="I10" s="89"/>
      <c r="J10" s="89"/>
      <c r="K10" s="89"/>
      <c r="L10" s="89"/>
      <c r="M10" s="89"/>
      <c r="N10" s="89"/>
    </row>
    <row r="17" spans="2:14" x14ac:dyDescent="0.2">
      <c r="B17" s="91" t="s">
        <v>27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2:14" x14ac:dyDescent="0.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20" spans="2:14" x14ac:dyDescent="0.25">
      <c r="B20" s="2" t="s">
        <v>33</v>
      </c>
      <c r="C20" s="94" t="s">
        <v>67</v>
      </c>
      <c r="D20" s="90"/>
      <c r="E20" s="90"/>
      <c r="G20" s="93" t="s">
        <v>37</v>
      </c>
      <c r="H20" s="93"/>
      <c r="I20" s="90">
        <v>5</v>
      </c>
      <c r="J20" s="90"/>
      <c r="K20" s="90"/>
      <c r="L20" s="90"/>
      <c r="M20" s="90"/>
      <c r="N20" s="90"/>
    </row>
    <row r="21" spans="2:14" x14ac:dyDescent="0.25">
      <c r="B21" s="2" t="s">
        <v>34</v>
      </c>
      <c r="C21" s="94" t="s">
        <v>68</v>
      </c>
      <c r="D21" s="90"/>
      <c r="E21" s="90"/>
      <c r="G21" s="93" t="s">
        <v>38</v>
      </c>
      <c r="H21" s="93"/>
      <c r="I21" s="90">
        <v>30</v>
      </c>
      <c r="J21" s="90"/>
      <c r="K21" s="90"/>
      <c r="L21" s="90"/>
      <c r="M21" s="90"/>
      <c r="N21" s="90"/>
    </row>
    <row r="22" spans="2:14" x14ac:dyDescent="0.25">
      <c r="B22" s="2" t="s">
        <v>35</v>
      </c>
      <c r="C22" s="90">
        <v>0.34</v>
      </c>
      <c r="D22" s="90"/>
      <c r="E22" s="90"/>
      <c r="G22" s="93" t="s">
        <v>36</v>
      </c>
      <c r="H22" s="93"/>
      <c r="I22" s="90">
        <v>-12.1</v>
      </c>
      <c r="J22" s="90"/>
      <c r="K22" s="90"/>
      <c r="L22" s="90"/>
      <c r="M22" s="90"/>
      <c r="N22" s="90"/>
    </row>
    <row r="24" spans="2:14" x14ac:dyDescent="0.2">
      <c r="B24" s="2" t="s">
        <v>39</v>
      </c>
      <c r="C24" s="95" t="s">
        <v>74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2:14" x14ac:dyDescent="0.2"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2:14" x14ac:dyDescent="0.2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2:14" x14ac:dyDescent="0.2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2:14" x14ac:dyDescent="0.2"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</sheetData>
  <mergeCells count="22">
    <mergeCell ref="C22:E22"/>
    <mergeCell ref="G22:H22"/>
    <mergeCell ref="I22:N22"/>
    <mergeCell ref="C24:N28"/>
    <mergeCell ref="B17:N18"/>
    <mergeCell ref="C20:E20"/>
    <mergeCell ref="G20:H20"/>
    <mergeCell ref="I20:N20"/>
    <mergeCell ref="C21:E21"/>
    <mergeCell ref="G21:H21"/>
    <mergeCell ref="I21:N21"/>
    <mergeCell ref="C8:E8"/>
    <mergeCell ref="I8:N10"/>
    <mergeCell ref="C9:E9"/>
    <mergeCell ref="C10:E10"/>
    <mergeCell ref="B2:N3"/>
    <mergeCell ref="C5:E5"/>
    <mergeCell ref="G5:H5"/>
    <mergeCell ref="I5:N5"/>
    <mergeCell ref="C6:E6"/>
    <mergeCell ref="G6:H6"/>
    <mergeCell ref="I6:N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6"/>
  <sheetViews>
    <sheetView showGridLines="0" zoomScale="130" zoomScaleNormal="130" zoomScalePageLayoutView="130" workbookViewId="0">
      <selection activeCell="B12" sqref="B12"/>
    </sheetView>
  </sheetViews>
  <sheetFormatPr baseColWidth="10" defaultColWidth="11" defaultRowHeight="16" x14ac:dyDescent="0.2"/>
  <cols>
    <col min="1" max="1" width="6.1640625" customWidth="1"/>
    <col min="2" max="2" width="14.6640625" style="2" customWidth="1"/>
    <col min="3" max="3" width="7.1640625" style="2" bestFit="1" customWidth="1"/>
    <col min="4" max="4" width="5" style="2" bestFit="1" customWidth="1"/>
    <col min="5" max="5" width="9.5" style="2" bestFit="1" customWidth="1"/>
    <col min="6" max="6" width="9.5" style="2" customWidth="1"/>
    <col min="7" max="7" width="7.83203125" style="2" bestFit="1" customWidth="1"/>
    <col min="8" max="8" width="6.83203125" style="2" bestFit="1" customWidth="1"/>
    <col min="9" max="9" width="10.5" style="2" bestFit="1" customWidth="1"/>
    <col min="10" max="10" width="7.33203125" style="2" bestFit="1" customWidth="1"/>
    <col min="11" max="11" width="7.33203125" style="3" bestFit="1" customWidth="1"/>
    <col min="12" max="12" width="6.6640625" style="4" bestFit="1" customWidth="1"/>
    <col min="13" max="13" width="5.5" style="4" bestFit="1" customWidth="1"/>
    <col min="14" max="14" width="5.1640625" style="4" bestFit="1" customWidth="1"/>
    <col min="15" max="15" width="3.83203125" customWidth="1"/>
    <col min="16" max="18" width="5.1640625" style="78" bestFit="1" customWidth="1"/>
  </cols>
  <sheetData>
    <row r="2" spans="2:18" x14ac:dyDescent="0.2">
      <c r="B2" s="91" t="s">
        <v>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8" x14ac:dyDescent="0.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8" ht="17" thickBot="1" x14ac:dyDescent="0.25"/>
    <row r="5" spans="2:18" ht="17" thickBot="1" x14ac:dyDescent="0.25">
      <c r="B5" s="97" t="s">
        <v>23</v>
      </c>
      <c r="C5" s="98"/>
      <c r="D5" s="99">
        <v>300</v>
      </c>
      <c r="E5" s="100"/>
      <c r="K5" s="3" t="s">
        <v>66</v>
      </c>
    </row>
    <row r="6" spans="2:18" ht="17" thickBot="1" x14ac:dyDescent="0.25"/>
    <row r="7" spans="2:18" x14ac:dyDescent="0.2">
      <c r="B7" s="9" t="s">
        <v>3</v>
      </c>
      <c r="C7" s="10" t="s">
        <v>14</v>
      </c>
      <c r="D7" s="11" t="s">
        <v>4</v>
      </c>
      <c r="E7" s="10" t="s">
        <v>15</v>
      </c>
      <c r="F7" s="11" t="s">
        <v>20</v>
      </c>
      <c r="G7" s="10" t="s">
        <v>21</v>
      </c>
      <c r="H7" s="11" t="s">
        <v>10</v>
      </c>
      <c r="I7" s="10" t="s">
        <v>6</v>
      </c>
      <c r="J7" s="11" t="s">
        <v>6</v>
      </c>
      <c r="K7" s="12" t="s">
        <v>6</v>
      </c>
      <c r="L7" s="13" t="s">
        <v>18</v>
      </c>
      <c r="M7" s="14" t="s">
        <v>19</v>
      </c>
      <c r="N7" s="15" t="s">
        <v>24</v>
      </c>
    </row>
    <row r="8" spans="2:18" x14ac:dyDescent="0.2">
      <c r="B8" s="16"/>
      <c r="C8" s="17" t="s">
        <v>25</v>
      </c>
      <c r="D8" s="18"/>
      <c r="E8" s="17"/>
      <c r="F8" s="18"/>
      <c r="G8" s="17"/>
      <c r="H8" s="18" t="s">
        <v>11</v>
      </c>
      <c r="I8" s="17" t="s">
        <v>12</v>
      </c>
      <c r="J8" s="18" t="s">
        <v>13</v>
      </c>
      <c r="K8" s="19" t="s">
        <v>26</v>
      </c>
      <c r="L8" s="20"/>
      <c r="M8" s="21"/>
      <c r="N8" s="22"/>
    </row>
    <row r="9" spans="2:18" ht="17" thickBot="1" x14ac:dyDescent="0.25">
      <c r="B9" s="23"/>
      <c r="C9" s="24"/>
      <c r="D9" s="25"/>
      <c r="E9" s="24"/>
      <c r="F9" s="26" t="s">
        <v>16</v>
      </c>
      <c r="G9" s="27" t="s">
        <v>16</v>
      </c>
      <c r="H9" s="26" t="s">
        <v>7</v>
      </c>
      <c r="I9" s="28" t="s">
        <v>8</v>
      </c>
      <c r="J9" s="26" t="s">
        <v>9</v>
      </c>
      <c r="K9" s="29" t="s">
        <v>9</v>
      </c>
      <c r="L9" s="30" t="s">
        <v>17</v>
      </c>
      <c r="M9" s="31" t="s">
        <v>17</v>
      </c>
      <c r="N9" s="32" t="s">
        <v>17</v>
      </c>
    </row>
    <row r="10" spans="2:18" x14ac:dyDescent="0.2">
      <c r="I10" s="1"/>
    </row>
    <row r="11" spans="2:18" x14ac:dyDescent="0.2">
      <c r="B11" s="75" t="s">
        <v>83</v>
      </c>
      <c r="C11" s="52">
        <v>2</v>
      </c>
      <c r="D11" s="6">
        <v>1</v>
      </c>
      <c r="E11" s="54" t="s">
        <v>79</v>
      </c>
      <c r="F11" s="6">
        <v>0</v>
      </c>
      <c r="G11" s="64">
        <v>10000</v>
      </c>
      <c r="H11" s="6">
        <v>4.6500000000000004</v>
      </c>
      <c r="I11" s="79">
        <v>266</v>
      </c>
      <c r="J11" s="6">
        <v>2.5299999999999998</v>
      </c>
      <c r="K11" s="65">
        <f>J11/COS(RADIANS(Experiment!$C$10))</f>
        <v>3.5779603128039299</v>
      </c>
      <c r="L11" s="7">
        <v>6385</v>
      </c>
      <c r="M11" s="7">
        <f>L11+(G11-F11)*K11</f>
        <v>42164.6031280393</v>
      </c>
      <c r="N11" s="8">
        <f>IF(AND($D$5&gt;$F11,$D$5&lt;=$G11),$L11+$K11*($D$5-$F11),"")</f>
        <v>7458.3880938411785</v>
      </c>
      <c r="P11" s="80">
        <v>100</v>
      </c>
      <c r="Q11" s="86">
        <v>200</v>
      </c>
      <c r="R11" s="86">
        <v>300</v>
      </c>
    </row>
    <row r="12" spans="2:18" x14ac:dyDescent="0.2">
      <c r="B12" s="76"/>
      <c r="D12" s="81"/>
      <c r="E12" s="82"/>
      <c r="F12" s="83"/>
      <c r="G12" s="81"/>
      <c r="H12" s="81"/>
      <c r="I12" s="81"/>
      <c r="J12" s="81"/>
      <c r="K12" s="84"/>
      <c r="L12" s="85"/>
      <c r="M12" s="85"/>
      <c r="N12" s="85"/>
      <c r="P12" s="78">
        <v>6850</v>
      </c>
      <c r="Q12" s="78">
        <v>7101</v>
      </c>
      <c r="R12" s="78">
        <v>7458</v>
      </c>
    </row>
    <row r="13" spans="2:18" x14ac:dyDescent="0.2">
      <c r="B13" s="76"/>
      <c r="I13" s="1"/>
    </row>
    <row r="14" spans="2:18" x14ac:dyDescent="0.2">
      <c r="B14" s="76"/>
      <c r="I14" s="1"/>
    </row>
    <row r="15" spans="2:18" x14ac:dyDescent="0.2">
      <c r="B15" s="76"/>
      <c r="I15" s="1"/>
    </row>
    <row r="16" spans="2:18" x14ac:dyDescent="0.2">
      <c r="B16" s="76"/>
      <c r="I16" s="1"/>
    </row>
    <row r="17" spans="2:9" x14ac:dyDescent="0.2">
      <c r="B17" s="76"/>
      <c r="I17" s="1"/>
    </row>
    <row r="18" spans="2:9" x14ac:dyDescent="0.2">
      <c r="B18" s="76"/>
      <c r="I18" s="1"/>
    </row>
    <row r="19" spans="2:9" x14ac:dyDescent="0.2">
      <c r="B19" s="76"/>
      <c r="I19" s="1"/>
    </row>
    <row r="20" spans="2:9" x14ac:dyDescent="0.2">
      <c r="B20" s="76"/>
      <c r="I20" s="1"/>
    </row>
    <row r="21" spans="2:9" x14ac:dyDescent="0.2">
      <c r="B21" s="76"/>
      <c r="I21" s="1"/>
    </row>
    <row r="22" spans="2:9" x14ac:dyDescent="0.2">
      <c r="B22" s="76"/>
      <c r="I22" s="1"/>
    </row>
    <row r="23" spans="2:9" x14ac:dyDescent="0.2">
      <c r="B23" s="76"/>
      <c r="I23" s="1"/>
    </row>
    <row r="24" spans="2:9" x14ac:dyDescent="0.2">
      <c r="B24" s="76"/>
      <c r="I24" s="1"/>
    </row>
    <row r="25" spans="2:9" x14ac:dyDescent="0.2">
      <c r="B25" s="76"/>
      <c r="I25" s="1"/>
    </row>
    <row r="26" spans="2:9" x14ac:dyDescent="0.2">
      <c r="B26" s="76"/>
      <c r="I26" s="1"/>
    </row>
  </sheetData>
  <mergeCells count="3">
    <mergeCell ref="B2:N3"/>
    <mergeCell ref="B5:C5"/>
    <mergeCell ref="D5:E5"/>
  </mergeCells>
  <phoneticPr fontId="2" type="noConversion"/>
  <pageMargins left="0.7" right="0.7" top="0.75" bottom="0.75" header="0.3" footer="0.3"/>
  <pageSetup paperSize="9" orientation="portrait" horizontalDpi="4294967292" verticalDpi="4294967292" r:id="rId1"/>
  <ignoredErrors>
    <ignoredError sqref="B12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0"/>
  <sheetViews>
    <sheetView showGridLines="0" tabSelected="1" zoomScale="140" zoomScaleNormal="140" zoomScalePageLayoutView="140" workbookViewId="0">
      <selection activeCell="B22" sqref="B22"/>
    </sheetView>
  </sheetViews>
  <sheetFormatPr baseColWidth="10" defaultColWidth="11" defaultRowHeight="16" x14ac:dyDescent="0.2"/>
  <cols>
    <col min="1" max="1" width="6.1640625" customWidth="1"/>
    <col min="2" max="2" width="15.5" style="2" customWidth="1"/>
    <col min="3" max="3" width="6.5" style="2" bestFit="1" customWidth="1"/>
    <col min="4" max="4" width="4.6640625" style="2" bestFit="1" customWidth="1"/>
    <col min="5" max="5" width="5.5" style="2" bestFit="1" customWidth="1"/>
    <col min="6" max="6" width="5" style="2" bestFit="1" customWidth="1"/>
    <col min="7" max="7" width="9.5" style="2" bestFit="1" customWidth="1"/>
    <col min="8" max="8" width="5.1640625" style="2" bestFit="1" customWidth="1"/>
    <col min="9" max="9" width="5.1640625" style="2" customWidth="1"/>
    <col min="10" max="10" width="7.1640625" style="2" bestFit="1" customWidth="1"/>
    <col min="11" max="11" width="7.83203125" style="2" bestFit="1" customWidth="1"/>
    <col min="12" max="12" width="6.83203125" style="2" bestFit="1" customWidth="1"/>
    <col min="13" max="13" width="6.33203125" style="37" customWidth="1"/>
    <col min="14" max="14" width="8.1640625" style="37" bestFit="1" customWidth="1"/>
    <col min="15" max="15" width="6.6640625" style="4" bestFit="1" customWidth="1"/>
    <col min="16" max="16" width="5.5" style="4" bestFit="1" customWidth="1"/>
    <col min="17" max="17" width="4.6640625" style="4" bestFit="1" customWidth="1"/>
    <col min="18" max="18" width="8.33203125" customWidth="1"/>
    <col min="19" max="19" width="6.6640625" customWidth="1"/>
    <col min="20" max="22" width="8.1640625" style="42" bestFit="1" customWidth="1"/>
  </cols>
  <sheetData>
    <row r="2" spans="2:22" ht="15" customHeight="1" x14ac:dyDescent="0.2">
      <c r="B2" s="104" t="s">
        <v>28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22" ht="16" customHeight="1" x14ac:dyDescent="0.2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5" spans="2:22" x14ac:dyDescent="0.2">
      <c r="B5" s="93" t="s">
        <v>45</v>
      </c>
      <c r="C5" s="93"/>
      <c r="D5" s="93"/>
      <c r="E5" s="93"/>
      <c r="F5" s="93"/>
      <c r="G5" s="93"/>
      <c r="H5" s="90">
        <f>K16</f>
        <v>203</v>
      </c>
      <c r="I5" s="90"/>
      <c r="J5" s="90"/>
      <c r="K5" s="90"/>
    </row>
    <row r="6" spans="2:22" x14ac:dyDescent="0.2">
      <c r="B6" s="93" t="s">
        <v>46</v>
      </c>
      <c r="C6" s="93"/>
      <c r="D6" s="93"/>
      <c r="E6" s="93"/>
      <c r="F6" s="93"/>
      <c r="G6" s="93"/>
      <c r="H6" s="114">
        <v>15</v>
      </c>
      <c r="I6" s="114"/>
      <c r="J6" s="114"/>
      <c r="K6" s="114"/>
      <c r="M6" s="37" t="s">
        <v>61</v>
      </c>
      <c r="N6" s="61">
        <f>(H6/100)/H7</f>
        <v>5.5555555555555556E-4</v>
      </c>
    </row>
    <row r="7" spans="2:22" x14ac:dyDescent="0.2">
      <c r="B7" s="93" t="s">
        <v>59</v>
      </c>
      <c r="C7" s="93"/>
      <c r="D7" s="93"/>
      <c r="E7" s="93"/>
      <c r="F7" s="93"/>
      <c r="G7" s="93"/>
      <c r="H7" s="114">
        <v>270</v>
      </c>
      <c r="I7" s="114"/>
      <c r="J7" s="114"/>
      <c r="K7" s="114"/>
      <c r="M7" s="37" t="s">
        <v>62</v>
      </c>
      <c r="N7" s="61">
        <f>N6*H8</f>
        <v>3.3822222222222226E-2</v>
      </c>
    </row>
    <row r="8" spans="2:22" x14ac:dyDescent="0.2">
      <c r="B8" s="93" t="s">
        <v>60</v>
      </c>
      <c r="C8" s="93"/>
      <c r="D8" s="93"/>
      <c r="E8" s="93"/>
      <c r="F8" s="93"/>
      <c r="G8" s="93"/>
      <c r="H8" s="114">
        <v>60.88</v>
      </c>
      <c r="I8" s="114"/>
      <c r="J8" s="114"/>
      <c r="K8" s="114"/>
    </row>
    <row r="9" spans="2:22" ht="17" thickBot="1" x14ac:dyDescent="0.25"/>
    <row r="10" spans="2:22" x14ac:dyDescent="0.2">
      <c r="B10" s="9" t="s">
        <v>44</v>
      </c>
      <c r="C10" s="9" t="s">
        <v>70</v>
      </c>
      <c r="D10" s="9" t="s">
        <v>71</v>
      </c>
      <c r="E10" s="10" t="s">
        <v>51</v>
      </c>
      <c r="F10" s="11" t="s">
        <v>4</v>
      </c>
      <c r="G10" s="10" t="s">
        <v>5</v>
      </c>
      <c r="H10" s="11" t="s">
        <v>22</v>
      </c>
      <c r="I10" s="59" t="s">
        <v>72</v>
      </c>
      <c r="J10" s="10" t="s">
        <v>54</v>
      </c>
      <c r="K10" s="11" t="s">
        <v>48</v>
      </c>
      <c r="L10" s="10" t="s">
        <v>47</v>
      </c>
      <c r="M10" s="39" t="s">
        <v>49</v>
      </c>
      <c r="N10" s="39" t="s">
        <v>50</v>
      </c>
      <c r="O10" s="105" t="s">
        <v>52</v>
      </c>
      <c r="P10" s="106"/>
      <c r="Q10" s="106"/>
      <c r="R10" s="107"/>
      <c r="T10" s="42" t="s">
        <v>63</v>
      </c>
      <c r="U10" s="42" t="s">
        <v>64</v>
      </c>
      <c r="V10" s="42" t="s">
        <v>65</v>
      </c>
    </row>
    <row r="11" spans="2:22" x14ac:dyDescent="0.2">
      <c r="B11" s="40"/>
      <c r="C11" s="45" t="s">
        <v>16</v>
      </c>
      <c r="D11" s="45" t="s">
        <v>16</v>
      </c>
      <c r="E11" s="45" t="s">
        <v>16</v>
      </c>
      <c r="F11" s="46"/>
      <c r="G11" s="47" t="s">
        <v>55</v>
      </c>
      <c r="H11" s="46" t="s">
        <v>17</v>
      </c>
      <c r="I11" s="60" t="s">
        <v>73</v>
      </c>
      <c r="J11" s="45" t="s">
        <v>17</v>
      </c>
      <c r="K11" s="48" t="s">
        <v>56</v>
      </c>
      <c r="L11" s="45"/>
      <c r="M11" s="49" t="s">
        <v>58</v>
      </c>
      <c r="N11" s="49" t="s">
        <v>58</v>
      </c>
      <c r="O11" s="108"/>
      <c r="P11" s="109"/>
      <c r="Q11" s="109"/>
      <c r="R11" s="110"/>
    </row>
    <row r="12" spans="2:22" ht="17" thickBot="1" x14ac:dyDescent="0.25">
      <c r="B12" s="41"/>
      <c r="C12" s="41"/>
      <c r="D12" s="41"/>
      <c r="E12" s="27"/>
      <c r="F12" s="26"/>
      <c r="G12" s="28"/>
      <c r="H12" s="26"/>
      <c r="I12" s="27"/>
      <c r="J12" s="27"/>
      <c r="K12" s="50" t="s">
        <v>57</v>
      </c>
      <c r="L12" s="27"/>
      <c r="M12" s="51"/>
      <c r="N12" s="51"/>
      <c r="O12" s="111"/>
      <c r="P12" s="112"/>
      <c r="Q12" s="112"/>
      <c r="R12" s="113"/>
    </row>
    <row r="13" spans="2:22" s="36" customFormat="1" x14ac:dyDescent="0.2">
      <c r="B13" s="33"/>
      <c r="C13" s="33"/>
      <c r="D13" s="33"/>
      <c r="E13" s="34"/>
      <c r="F13" s="34"/>
      <c r="G13" s="35"/>
      <c r="H13" s="34"/>
      <c r="I13" s="34"/>
      <c r="J13" s="34"/>
      <c r="K13" s="35"/>
      <c r="L13" s="34"/>
      <c r="M13" s="38"/>
      <c r="N13" s="38"/>
      <c r="O13" s="102"/>
      <c r="P13" s="102"/>
      <c r="Q13" s="102"/>
      <c r="R13" s="102"/>
      <c r="T13" s="43"/>
      <c r="U13" s="43"/>
      <c r="V13" s="43"/>
    </row>
    <row r="14" spans="2:22" x14ac:dyDescent="0.2">
      <c r="B14" s="58"/>
      <c r="C14" s="58"/>
      <c r="D14" s="58"/>
      <c r="J14" s="4"/>
      <c r="O14" s="101"/>
      <c r="P14" s="101"/>
      <c r="Q14" s="101"/>
      <c r="R14" s="101"/>
    </row>
    <row r="15" spans="2:22" x14ac:dyDescent="0.2">
      <c r="B15" s="55" t="s">
        <v>69</v>
      </c>
      <c r="C15" s="63"/>
      <c r="D15" s="63"/>
      <c r="E15" s="52"/>
      <c r="F15" s="52"/>
      <c r="G15" s="52"/>
      <c r="H15" s="52">
        <v>6590</v>
      </c>
      <c r="I15" s="57">
        <v>0</v>
      </c>
      <c r="J15" s="69">
        <f>H15-Experiment!$I$22-I15*Experiment!$C$9</f>
        <v>6602.1</v>
      </c>
      <c r="K15" s="64">
        <v>203</v>
      </c>
      <c r="L15" s="52" t="s">
        <v>53</v>
      </c>
      <c r="M15" s="68"/>
      <c r="N15" s="68"/>
      <c r="O15" s="56"/>
      <c r="P15" s="53"/>
      <c r="Q15" s="53"/>
      <c r="R15" s="53"/>
    </row>
    <row r="16" spans="2:22" x14ac:dyDescent="0.2">
      <c r="K16" s="62">
        <f>AVERAGE(K15:K15)</f>
        <v>203</v>
      </c>
    </row>
    <row r="18" spans="2:22" x14ac:dyDescent="0.2">
      <c r="B18" s="77" t="s">
        <v>83</v>
      </c>
      <c r="C18" s="63">
        <v>-2</v>
      </c>
      <c r="D18" s="63">
        <v>100</v>
      </c>
      <c r="E18" s="66">
        <v>100</v>
      </c>
      <c r="F18" s="70">
        <v>2</v>
      </c>
      <c r="G18" s="70">
        <f>Samples!I11</f>
        <v>266</v>
      </c>
      <c r="H18" s="71">
        <v>6850</v>
      </c>
      <c r="I18" s="70">
        <v>0</v>
      </c>
      <c r="J18" s="69">
        <f>H18-Experiment!$I$22-I18*Experiment!$C$9</f>
        <v>6862.1</v>
      </c>
      <c r="K18" s="65">
        <v>127.4</v>
      </c>
      <c r="L18" s="70" t="s">
        <v>53</v>
      </c>
      <c r="M18" s="67">
        <f t="shared" ref="M18:M20" si="0">(100*V18)/(1+V18)</f>
        <v>8.6553270416359656</v>
      </c>
      <c r="N18" s="67">
        <f t="shared" ref="N18" si="1">M18*(SQRT(K18)/K18)</f>
        <v>0.76682942313722557</v>
      </c>
      <c r="O18" s="103" t="s">
        <v>76</v>
      </c>
      <c r="P18" s="103"/>
      <c r="Q18" s="103"/>
      <c r="R18" s="103"/>
      <c r="T18" s="44">
        <f t="shared" ref="T18" si="2">$N$6*G18</f>
        <v>0.14777777777777779</v>
      </c>
      <c r="U18" s="44">
        <f>K18/$H$5</f>
        <v>0.62758620689655176</v>
      </c>
      <c r="V18" s="44">
        <f t="shared" ref="V18" si="3">(T18*U18)/(1-$N$7*U18)</f>
        <v>9.4754590074247275E-2</v>
      </c>
    </row>
    <row r="19" spans="2:22" x14ac:dyDescent="0.2">
      <c r="B19" s="77" t="s">
        <v>83</v>
      </c>
      <c r="C19" s="63">
        <v>-2</v>
      </c>
      <c r="D19" s="63">
        <v>100</v>
      </c>
      <c r="E19" s="66">
        <v>200</v>
      </c>
      <c r="F19" s="73">
        <v>2</v>
      </c>
      <c r="G19" s="73">
        <f>G18</f>
        <v>266</v>
      </c>
      <c r="H19" s="74">
        <v>7101</v>
      </c>
      <c r="I19" s="73">
        <v>0</v>
      </c>
      <c r="J19" s="69">
        <f>H19-Experiment!$I$22-I19*Experiment!$C$9</f>
        <v>7113.1</v>
      </c>
      <c r="K19" s="65">
        <v>147</v>
      </c>
      <c r="L19" s="73" t="s">
        <v>53</v>
      </c>
      <c r="M19" s="67">
        <f t="shared" ref="M19" si="4">(100*V19)/(1+V19)</f>
        <v>9.8854099418979988</v>
      </c>
      <c r="N19" s="67">
        <f t="shared" ref="N19" si="5">M19*(SQRT(K19)/K19)</f>
        <v>0.81533487014351602</v>
      </c>
      <c r="O19" s="103" t="s">
        <v>78</v>
      </c>
      <c r="P19" s="103"/>
      <c r="Q19" s="103"/>
      <c r="R19" s="103"/>
      <c r="T19" s="44">
        <f t="shared" ref="T19" si="6">$N$6*G19</f>
        <v>0.14777777777777779</v>
      </c>
      <c r="U19" s="44">
        <f>K19/$H$5</f>
        <v>0.72413793103448276</v>
      </c>
      <c r="V19" s="44">
        <f t="shared" ref="V19" si="7">(T19*U19)/(1-$N$7*U19)</f>
        <v>0.10969821796364289</v>
      </c>
    </row>
    <row r="20" spans="2:22" x14ac:dyDescent="0.2">
      <c r="B20" s="77" t="s">
        <v>83</v>
      </c>
      <c r="C20" s="63">
        <v>-2</v>
      </c>
      <c r="D20" s="63">
        <v>100</v>
      </c>
      <c r="E20" s="66">
        <v>300</v>
      </c>
      <c r="F20" s="72">
        <v>2</v>
      </c>
      <c r="G20" s="72">
        <f>G19</f>
        <v>266</v>
      </c>
      <c r="H20" s="74">
        <v>7458</v>
      </c>
      <c r="I20" s="72">
        <v>0</v>
      </c>
      <c r="J20" s="69">
        <f>H20-Experiment!$I$22-I20*Experiment!$C$9</f>
        <v>7470.1</v>
      </c>
      <c r="K20" s="65">
        <v>149.5</v>
      </c>
      <c r="L20" s="72" t="s">
        <v>53</v>
      </c>
      <c r="M20" s="67">
        <f t="shared" si="0"/>
        <v>10.040512497126739</v>
      </c>
      <c r="N20" s="67">
        <f t="shared" ref="N20" si="8">M20*(SQRT(K20)/K20)</f>
        <v>0.82117417852200669</v>
      </c>
      <c r="O20" s="103" t="s">
        <v>77</v>
      </c>
      <c r="P20" s="103"/>
      <c r="Q20" s="103"/>
      <c r="R20" s="103"/>
      <c r="T20" s="44">
        <f t="shared" ref="T20" si="9">$N$6*G20</f>
        <v>0.14777777777777779</v>
      </c>
      <c r="U20" s="44">
        <f t="shared" ref="U20" si="10">K20/$H$5</f>
        <v>0.73645320197044339</v>
      </c>
      <c r="V20" s="44">
        <f t="shared" ref="V20" si="11">(T20*U20)/(1-$N$7*U20)</f>
        <v>0.11161149063689418</v>
      </c>
    </row>
  </sheetData>
  <mergeCells count="17">
    <mergeCell ref="O19:R19"/>
    <mergeCell ref="O14:R14"/>
    <mergeCell ref="O13:R13"/>
    <mergeCell ref="O20:R20"/>
    <mergeCell ref="O18:R18"/>
    <mergeCell ref="B2:R3"/>
    <mergeCell ref="O10:R10"/>
    <mergeCell ref="O11:R11"/>
    <mergeCell ref="O12:R12"/>
    <mergeCell ref="B5:G5"/>
    <mergeCell ref="B6:G6"/>
    <mergeCell ref="B7:G7"/>
    <mergeCell ref="B8:G8"/>
    <mergeCell ref="H5:K5"/>
    <mergeCell ref="H6:K6"/>
    <mergeCell ref="H7:K7"/>
    <mergeCell ref="H8:K8"/>
  </mergeCells>
  <phoneticPr fontId="2" type="noConversion"/>
  <dataValidations count="1">
    <dataValidation type="list" allowBlank="1" showInputMessage="1" showErrorMessage="1" sqref="L15 L18:L20">
      <formula1>"AVR,EXP"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Experiment</vt:lpstr>
      <vt:lpstr>Samples</vt:lpstr>
      <vt:lpstr>Measurements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Heller</dc:creator>
  <cp:lastModifiedBy>Rene Heller</cp:lastModifiedBy>
  <cp:lastPrinted>2016-07-08T13:13:52Z</cp:lastPrinted>
  <dcterms:created xsi:type="dcterms:W3CDTF">2016-07-08T08:40:16Z</dcterms:created>
  <dcterms:modified xsi:type="dcterms:W3CDTF">2022-03-10T08:10:50Z</dcterms:modified>
</cp:coreProperties>
</file>